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3. TEMPLATES\"/>
    </mc:Choice>
  </mc:AlternateContent>
  <bookViews>
    <workbookView xWindow="0" yWindow="0" windowWidth="28800" windowHeight="12300" tabRatio="598" activeTab="1"/>
  </bookViews>
  <sheets>
    <sheet name="PROJECTION " sheetId="5" r:id="rId1"/>
    <sheet name="Lab Projection 2020-2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AR20" i="1" l="1"/>
  <c r="AS20" i="1"/>
  <c r="AS31" i="1" s="1"/>
  <c r="AR25" i="1"/>
  <c r="AS25" i="1"/>
  <c r="AR27" i="1"/>
  <c r="AS27" i="1"/>
  <c r="AR28" i="1"/>
  <c r="AS28" i="1"/>
  <c r="AR36" i="1"/>
  <c r="AS36" i="1"/>
  <c r="AR37" i="1"/>
  <c r="AS37" i="1"/>
  <c r="AR38" i="1"/>
  <c r="AS38" i="1"/>
  <c r="AS54" i="1"/>
  <c r="AS60" i="1"/>
  <c r="AS75" i="1"/>
  <c r="AS85" i="1"/>
  <c r="AR89" i="1"/>
  <c r="AR98" i="1" s="1"/>
  <c r="AS89" i="1"/>
  <c r="AS98" i="1"/>
  <c r="AQ20" i="1"/>
  <c r="AQ25" i="1"/>
  <c r="AQ27" i="1"/>
  <c r="AQ28" i="1"/>
  <c r="AQ36" i="1"/>
  <c r="AQ37" i="1"/>
  <c r="AQ38" i="1"/>
  <c r="AQ89" i="1"/>
  <c r="AQ98" i="1"/>
  <c r="AO98" i="1"/>
  <c r="AP89" i="1"/>
  <c r="AP98" i="1" s="1"/>
  <c r="AO89" i="1"/>
  <c r="AN89" i="1"/>
  <c r="AN98" i="1" s="1"/>
  <c r="AM89" i="1"/>
  <c r="AM98" i="1" s="1"/>
  <c r="AP38" i="1"/>
  <c r="AO38" i="1"/>
  <c r="AN38" i="1"/>
  <c r="AM38" i="1"/>
  <c r="AP37" i="1"/>
  <c r="AO37" i="1"/>
  <c r="AN37" i="1"/>
  <c r="AM37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P28" i="1"/>
  <c r="AO28" i="1"/>
  <c r="AN28" i="1"/>
  <c r="AM28" i="1"/>
  <c r="AP27" i="1"/>
  <c r="AO27" i="1"/>
  <c r="AN27" i="1"/>
  <c r="AM27" i="1"/>
  <c r="AP25" i="1"/>
  <c r="AO25" i="1"/>
  <c r="AN25" i="1"/>
  <c r="AM25" i="1"/>
  <c r="AP20" i="1"/>
  <c r="AO20" i="1"/>
  <c r="AN20" i="1"/>
  <c r="AM20" i="1"/>
  <c r="AN18" i="1"/>
  <c r="AM18" i="1"/>
  <c r="AL25" i="1"/>
  <c r="AK25" i="1"/>
  <c r="AJ25" i="1"/>
  <c r="AI25" i="1"/>
  <c r="AH25" i="1"/>
  <c r="AG25" i="1"/>
  <c r="AF25" i="1"/>
  <c r="AE25" i="1"/>
  <c r="AD25" i="1"/>
  <c r="AC25" i="1"/>
  <c r="AJ98" i="1"/>
  <c r="AC9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AC18" i="1"/>
  <c r="AD18" i="1"/>
  <c r="AE18" i="1"/>
  <c r="AF18" i="1"/>
  <c r="AG18" i="1"/>
  <c r="AH18" i="1"/>
  <c r="AI18" i="1"/>
  <c r="AJ18" i="1"/>
  <c r="AK18" i="1"/>
  <c r="AL18" i="1"/>
  <c r="AC20" i="1"/>
  <c r="AD20" i="1"/>
  <c r="AE20" i="1"/>
  <c r="AF20" i="1"/>
  <c r="AG20" i="1"/>
  <c r="AH20" i="1"/>
  <c r="AI20" i="1"/>
  <c r="AJ20" i="1"/>
  <c r="AK20" i="1"/>
  <c r="AL20" i="1"/>
  <c r="AC27" i="1"/>
  <c r="AD27" i="1"/>
  <c r="AE27" i="1"/>
  <c r="AF27" i="1"/>
  <c r="AG27" i="1"/>
  <c r="AH27" i="1"/>
  <c r="AI27" i="1"/>
  <c r="AJ27" i="1"/>
  <c r="AK27" i="1"/>
  <c r="AL27" i="1"/>
  <c r="AC28" i="1"/>
  <c r="AD28" i="1"/>
  <c r="AE28" i="1"/>
  <c r="AF28" i="1"/>
  <c r="AG28" i="1"/>
  <c r="AH28" i="1"/>
  <c r="AI28" i="1"/>
  <c r="AJ28" i="1"/>
  <c r="AK28" i="1"/>
  <c r="AL28" i="1"/>
  <c r="AC54" i="1"/>
  <c r="AD54" i="1"/>
  <c r="AE54" i="1"/>
  <c r="AF54" i="1"/>
  <c r="AG54" i="1"/>
  <c r="AH54" i="1"/>
  <c r="AI54" i="1"/>
  <c r="AJ54" i="1"/>
  <c r="AK54" i="1"/>
  <c r="AL54" i="1"/>
  <c r="AC60" i="1"/>
  <c r="AD60" i="1"/>
  <c r="AE60" i="1"/>
  <c r="AF60" i="1"/>
  <c r="AG60" i="1"/>
  <c r="AH60" i="1"/>
  <c r="AI60" i="1"/>
  <c r="AJ60" i="1"/>
  <c r="AK60" i="1"/>
  <c r="AL60" i="1"/>
  <c r="AC75" i="1"/>
  <c r="AD75" i="1"/>
  <c r="AE75" i="1"/>
  <c r="AF75" i="1"/>
  <c r="AG75" i="1"/>
  <c r="AH75" i="1"/>
  <c r="AI75" i="1"/>
  <c r="AJ75" i="1"/>
  <c r="AK75" i="1"/>
  <c r="AL75" i="1"/>
  <c r="AC85" i="1"/>
  <c r="AD85" i="1"/>
  <c r="AE85" i="1"/>
  <c r="AF85" i="1"/>
  <c r="AG85" i="1"/>
  <c r="AH85" i="1"/>
  <c r="AI85" i="1"/>
  <c r="AJ85" i="1"/>
  <c r="AK85" i="1"/>
  <c r="AL85" i="1"/>
  <c r="AD98" i="1"/>
  <c r="AF98" i="1"/>
  <c r="AH98" i="1"/>
  <c r="AL98" i="1"/>
  <c r="AE98" i="1"/>
  <c r="AG98" i="1"/>
  <c r="AI98" i="1"/>
  <c r="AK98" i="1"/>
  <c r="I64" i="1"/>
  <c r="J64" i="1" s="1"/>
  <c r="K64" i="1" s="1"/>
  <c r="L64" i="1" s="1"/>
  <c r="M64" i="1" s="1"/>
  <c r="N64" i="1" s="1"/>
  <c r="O64" i="1" s="1"/>
  <c r="P64" i="1" s="1"/>
  <c r="Q64" i="1" s="1"/>
  <c r="R64" i="1" s="1"/>
  <c r="S64" i="1" s="1"/>
  <c r="T64" i="1" s="1"/>
  <c r="U64" i="1" s="1"/>
  <c r="V64" i="1" s="1"/>
  <c r="W64" i="1" s="1"/>
  <c r="X64" i="1" s="1"/>
  <c r="Y64" i="1" s="1"/>
  <c r="Z64" i="1" s="1"/>
  <c r="AA64" i="1" s="1"/>
  <c r="AB64" i="1" s="1"/>
  <c r="AC64" i="1" s="1"/>
  <c r="AD64" i="1" s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AE64" i="1" l="1"/>
  <c r="AD69" i="1"/>
  <c r="AD102" i="1" s="1"/>
  <c r="AD11" i="1" s="1"/>
  <c r="AC69" i="1"/>
  <c r="AC102" i="1" s="1"/>
  <c r="AC11" i="1" s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I38" i="1"/>
  <c r="H38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H27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AU28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Z19" i="1"/>
  <c r="Y19" i="1"/>
  <c r="X19" i="1"/>
  <c r="W19" i="1"/>
  <c r="V19" i="1"/>
  <c r="U19" i="1"/>
  <c r="T19" i="1"/>
  <c r="S19" i="1"/>
  <c r="R19" i="1"/>
  <c r="Q19" i="1"/>
  <c r="P19" i="1"/>
  <c r="O19" i="1"/>
  <c r="AB18" i="1"/>
  <c r="AA18" i="1"/>
  <c r="Z18" i="1"/>
  <c r="Y18" i="1"/>
  <c r="X18" i="1"/>
  <c r="W18" i="1"/>
  <c r="V18" i="1"/>
  <c r="U18" i="1"/>
  <c r="T18" i="1"/>
  <c r="S18" i="1"/>
  <c r="R18" i="1"/>
  <c r="Q18" i="1"/>
  <c r="I19" i="1"/>
  <c r="J19" i="1"/>
  <c r="K19" i="1"/>
  <c r="L19" i="1"/>
  <c r="M19" i="1"/>
  <c r="N19" i="1"/>
  <c r="H19" i="1"/>
  <c r="J18" i="1"/>
  <c r="K18" i="1"/>
  <c r="L18" i="1"/>
  <c r="M18" i="1"/>
  <c r="N18" i="1"/>
  <c r="O18" i="1"/>
  <c r="P18" i="1"/>
  <c r="I18" i="1"/>
  <c r="H18" i="1"/>
  <c r="AF64" i="1" l="1"/>
  <c r="AE69" i="1"/>
  <c r="AE102" i="1" s="1"/>
  <c r="AE11" i="1" s="1"/>
  <c r="AU89" i="1"/>
  <c r="AU19" i="1"/>
  <c r="AU20" i="1"/>
  <c r="AU27" i="1"/>
  <c r="AU26" i="1"/>
  <c r="AU25" i="1"/>
  <c r="AG64" i="1" l="1"/>
  <c r="AF69" i="1"/>
  <c r="AF102" i="1" s="1"/>
  <c r="AF11" i="1" s="1"/>
  <c r="AH64" i="1" l="1"/>
  <c r="AG69" i="1"/>
  <c r="AG102" i="1" s="1"/>
  <c r="AG11" i="1" s="1"/>
  <c r="AI64" i="1" l="1"/>
  <c r="AH69" i="1"/>
  <c r="AH102" i="1" s="1"/>
  <c r="AH11" i="1" s="1"/>
  <c r="AI69" i="1" l="1"/>
  <c r="AI102" i="1" s="1"/>
  <c r="AI11" i="1" s="1"/>
  <c r="AJ64" i="1"/>
  <c r="AU18" i="1"/>
  <c r="AJ69" i="1" l="1"/>
  <c r="AJ102" i="1" s="1"/>
  <c r="AJ11" i="1" s="1"/>
  <c r="AK64" i="1"/>
  <c r="AL64" i="1" l="1"/>
  <c r="AM64" i="1" s="1"/>
  <c r="AK69" i="1"/>
  <c r="AK102" i="1" s="1"/>
  <c r="AK11" i="1" s="1"/>
  <c r="AM69" i="1" l="1"/>
  <c r="AM102" i="1" s="1"/>
  <c r="AM11" i="1" s="1"/>
  <c r="AN64" i="1"/>
  <c r="AL69" i="1"/>
  <c r="AL102" i="1" s="1"/>
  <c r="AL11" i="1" s="1"/>
  <c r="AO64" i="1" l="1"/>
  <c r="AN69" i="1"/>
  <c r="AN102" i="1" s="1"/>
  <c r="AN11" i="1" s="1"/>
  <c r="AP64" i="1" l="1"/>
  <c r="AQ64" i="1" s="1"/>
  <c r="AO69" i="1"/>
  <c r="AO102" i="1" s="1"/>
  <c r="AO11" i="1" s="1"/>
  <c r="AQ69" i="1" l="1"/>
  <c r="AQ102" i="1" s="1"/>
  <c r="AQ11" i="1" s="1"/>
  <c r="AR64" i="1"/>
  <c r="AP69" i="1"/>
  <c r="AP102" i="1" s="1"/>
  <c r="AP11" i="1" s="1"/>
  <c r="AS64" i="1" l="1"/>
  <c r="AS69" i="1" s="1"/>
  <c r="AS102" i="1" s="1"/>
  <c r="AS11" i="1" s="1"/>
  <c r="AR69" i="1"/>
  <c r="AR102" i="1" s="1"/>
  <c r="AR11" i="1" s="1"/>
  <c r="AU64" i="1"/>
  <c r="G24" i="1" l="1"/>
  <c r="G23" i="1"/>
  <c r="G22" i="1"/>
  <c r="G21" i="1"/>
  <c r="AQ39" i="1" l="1"/>
  <c r="AR39" i="1"/>
  <c r="AS39" i="1"/>
  <c r="AQ21" i="1"/>
  <c r="AQ31" i="1" s="1"/>
  <c r="AR21" i="1"/>
  <c r="AR31" i="1" s="1"/>
  <c r="AQ45" i="1"/>
  <c r="AQ43" i="1"/>
  <c r="AO21" i="1"/>
  <c r="AO31" i="1" s="1"/>
  <c r="AN21" i="1"/>
  <c r="AN31" i="1" s="1"/>
  <c r="AM21" i="1"/>
  <c r="AM31" i="1" s="1"/>
  <c r="AP21" i="1"/>
  <c r="AP31" i="1" s="1"/>
  <c r="AP39" i="1"/>
  <c r="AO39" i="1"/>
  <c r="AN39" i="1"/>
  <c r="AM39" i="1"/>
  <c r="AI21" i="1"/>
  <c r="AI31" i="1" s="1"/>
  <c r="AJ21" i="1"/>
  <c r="AJ31" i="1" s="1"/>
  <c r="AC21" i="1"/>
  <c r="AC31" i="1" s="1"/>
  <c r="AK21" i="1"/>
  <c r="AK31" i="1" s="1"/>
  <c r="AD21" i="1"/>
  <c r="AD31" i="1" s="1"/>
  <c r="AL21" i="1"/>
  <c r="AL31" i="1" s="1"/>
  <c r="AE21" i="1"/>
  <c r="AE31" i="1" s="1"/>
  <c r="AF21" i="1"/>
  <c r="AF31" i="1" s="1"/>
  <c r="AG21" i="1"/>
  <c r="AG31" i="1" s="1"/>
  <c r="AH21" i="1"/>
  <c r="AH31" i="1" s="1"/>
  <c r="AI39" i="1"/>
  <c r="AJ39" i="1"/>
  <c r="AH39" i="1"/>
  <c r="AC39" i="1"/>
  <c r="AK39" i="1"/>
  <c r="AD39" i="1"/>
  <c r="AL39" i="1"/>
  <c r="AE39" i="1"/>
  <c r="AF39" i="1"/>
  <c r="AG39" i="1"/>
  <c r="AA21" i="1"/>
  <c r="S21" i="1"/>
  <c r="K21" i="1"/>
  <c r="AB21" i="1"/>
  <c r="L21" i="1"/>
  <c r="Z21" i="1"/>
  <c r="R21" i="1"/>
  <c r="J21" i="1"/>
  <c r="Y21" i="1"/>
  <c r="Q21" i="1"/>
  <c r="I21" i="1"/>
  <c r="O21" i="1"/>
  <c r="X21" i="1"/>
  <c r="P21" i="1"/>
  <c r="H21" i="1"/>
  <c r="W21" i="1"/>
  <c r="T21" i="1"/>
  <c r="V21" i="1"/>
  <c r="N21" i="1"/>
  <c r="U21" i="1"/>
  <c r="M21" i="1"/>
  <c r="I22" i="1"/>
  <c r="H22" i="1"/>
  <c r="O23" i="1"/>
  <c r="H23" i="1"/>
  <c r="I23" i="1"/>
  <c r="N23" i="1"/>
  <c r="J23" i="1"/>
  <c r="K23" i="1"/>
  <c r="L23" i="1"/>
  <c r="M23" i="1"/>
  <c r="Q24" i="1"/>
  <c r="I24" i="1"/>
  <c r="R24" i="1"/>
  <c r="X24" i="1"/>
  <c r="P24" i="1"/>
  <c r="H24" i="1"/>
  <c r="W24" i="1"/>
  <c r="O24" i="1"/>
  <c r="U24" i="1"/>
  <c r="V24" i="1"/>
  <c r="N24" i="1"/>
  <c r="M24" i="1"/>
  <c r="J24" i="1"/>
  <c r="T24" i="1"/>
  <c r="L24" i="1"/>
  <c r="S24" i="1"/>
  <c r="K24" i="1"/>
  <c r="Y39" i="1"/>
  <c r="Y45" i="1" s="1"/>
  <c r="Q39" i="1"/>
  <c r="Q45" i="1" s="1"/>
  <c r="I39" i="1"/>
  <c r="I45" i="1" s="1"/>
  <c r="X39" i="1"/>
  <c r="X45" i="1" s="1"/>
  <c r="P39" i="1"/>
  <c r="P45" i="1" s="1"/>
  <c r="H39" i="1"/>
  <c r="W39" i="1"/>
  <c r="W45" i="1" s="1"/>
  <c r="O39" i="1"/>
  <c r="O45" i="1" s="1"/>
  <c r="V39" i="1"/>
  <c r="V45" i="1" s="1"/>
  <c r="N39" i="1"/>
  <c r="N45" i="1" s="1"/>
  <c r="U39" i="1"/>
  <c r="U45" i="1" s="1"/>
  <c r="M39" i="1"/>
  <c r="M45" i="1" s="1"/>
  <c r="AB39" i="1"/>
  <c r="AB45" i="1" s="1"/>
  <c r="T39" i="1"/>
  <c r="T45" i="1" s="1"/>
  <c r="L39" i="1"/>
  <c r="L45" i="1" s="1"/>
  <c r="R39" i="1"/>
  <c r="R45" i="1" s="1"/>
  <c r="AA39" i="1"/>
  <c r="AA45" i="1" s="1"/>
  <c r="S39" i="1"/>
  <c r="S45" i="1" s="1"/>
  <c r="K39" i="1"/>
  <c r="K45" i="1" s="1"/>
  <c r="Z39" i="1"/>
  <c r="Z45" i="1" s="1"/>
  <c r="J39" i="1"/>
  <c r="J45" i="1" s="1"/>
  <c r="T60" i="1"/>
  <c r="U60" i="1"/>
  <c r="V60" i="1"/>
  <c r="W60" i="1"/>
  <c r="X60" i="1"/>
  <c r="Y60" i="1"/>
  <c r="Z60" i="1"/>
  <c r="AA60" i="1"/>
  <c r="AB60" i="1"/>
  <c r="T54" i="1"/>
  <c r="U54" i="1"/>
  <c r="V54" i="1"/>
  <c r="W54" i="1"/>
  <c r="X54" i="1"/>
  <c r="Y54" i="1"/>
  <c r="Z54" i="1"/>
  <c r="AA54" i="1"/>
  <c r="AB54" i="1"/>
  <c r="AU42" i="1"/>
  <c r="AS43" i="1" l="1"/>
  <c r="AS45" i="1"/>
  <c r="AR45" i="1"/>
  <c r="AR43" i="1"/>
  <c r="AR47" i="1" s="1"/>
  <c r="AR10" i="1" s="1"/>
  <c r="AQ47" i="1"/>
  <c r="AQ10" i="1" s="1"/>
  <c r="AP45" i="1"/>
  <c r="AP43" i="1"/>
  <c r="AO43" i="1"/>
  <c r="AO45" i="1"/>
  <c r="AM43" i="1"/>
  <c r="AM45" i="1"/>
  <c r="AN45" i="1"/>
  <c r="AN43" i="1"/>
  <c r="AC45" i="1"/>
  <c r="AC43" i="1"/>
  <c r="AK43" i="1"/>
  <c r="AK45" i="1"/>
  <c r="AG45" i="1"/>
  <c r="AG43" i="1"/>
  <c r="AH43" i="1"/>
  <c r="AH45" i="1"/>
  <c r="AF45" i="1"/>
  <c r="AF43" i="1"/>
  <c r="AJ45" i="1"/>
  <c r="AJ43" i="1"/>
  <c r="AI43" i="1"/>
  <c r="AI45" i="1"/>
  <c r="AE45" i="1"/>
  <c r="AE43" i="1"/>
  <c r="AL43" i="1"/>
  <c r="AL45" i="1"/>
  <c r="AD43" i="1"/>
  <c r="AD45" i="1"/>
  <c r="AU22" i="1"/>
  <c r="AU24" i="1"/>
  <c r="AU23" i="1"/>
  <c r="AU21" i="1"/>
  <c r="H31" i="1"/>
  <c r="AU39" i="1"/>
  <c r="H45" i="1"/>
  <c r="AU110" i="1"/>
  <c r="X85" i="1"/>
  <c r="AU111" i="1"/>
  <c r="AG47" i="1" l="1"/>
  <c r="AG10" i="1" s="1"/>
  <c r="AS47" i="1"/>
  <c r="AS10" i="1" s="1"/>
  <c r="AM47" i="1"/>
  <c r="AM10" i="1" s="1"/>
  <c r="AO47" i="1"/>
  <c r="AO10" i="1" s="1"/>
  <c r="AN47" i="1"/>
  <c r="AN10" i="1" s="1"/>
  <c r="AP47" i="1"/>
  <c r="AP10" i="1" s="1"/>
  <c r="AE47" i="1"/>
  <c r="AE10" i="1" s="1"/>
  <c r="AF47" i="1"/>
  <c r="AF10" i="1" s="1"/>
  <c r="AC47" i="1"/>
  <c r="AC10" i="1" s="1"/>
  <c r="AD47" i="1"/>
  <c r="AD10" i="1" s="1"/>
  <c r="AH47" i="1"/>
  <c r="AH10" i="1" s="1"/>
  <c r="AJ47" i="1"/>
  <c r="AJ10" i="1" s="1"/>
  <c r="AK47" i="1"/>
  <c r="AK10" i="1" s="1"/>
  <c r="AI47" i="1"/>
  <c r="AI10" i="1" s="1"/>
  <c r="AL47" i="1"/>
  <c r="AL10" i="1" s="1"/>
  <c r="U85" i="1" l="1"/>
  <c r="V85" i="1"/>
  <c r="Y85" i="1"/>
  <c r="Z85" i="1"/>
  <c r="AA85" i="1"/>
  <c r="AB85" i="1"/>
  <c r="T75" i="1"/>
  <c r="S75" i="1"/>
  <c r="R75" i="1"/>
  <c r="Q75" i="1"/>
  <c r="P75" i="1"/>
  <c r="N75" i="1"/>
  <c r="M75" i="1"/>
  <c r="L75" i="1"/>
  <c r="K75" i="1"/>
  <c r="J75" i="1"/>
  <c r="I75" i="1"/>
  <c r="H9" i="1"/>
  <c r="S31" i="1"/>
  <c r="T31" i="1"/>
  <c r="U31" i="1"/>
  <c r="V31" i="1"/>
  <c r="W31" i="1"/>
  <c r="X31" i="1"/>
  <c r="Y31" i="1"/>
  <c r="Z31" i="1"/>
  <c r="AA31" i="1"/>
  <c r="AB31" i="1"/>
  <c r="AU41" i="1"/>
  <c r="U43" i="1"/>
  <c r="V43" i="1"/>
  <c r="W43" i="1"/>
  <c r="X43" i="1"/>
  <c r="Y43" i="1"/>
  <c r="Z43" i="1"/>
  <c r="AA43" i="1"/>
  <c r="AB43" i="1"/>
  <c r="AU46" i="1"/>
  <c r="AU52" i="1"/>
  <c r="AU53" i="1"/>
  <c r="H54" i="1"/>
  <c r="I54" i="1"/>
  <c r="J54" i="1"/>
  <c r="K54" i="1"/>
  <c r="L54" i="1"/>
  <c r="M54" i="1"/>
  <c r="N54" i="1"/>
  <c r="O54" i="1"/>
  <c r="P54" i="1"/>
  <c r="Q54" i="1"/>
  <c r="R54" i="1"/>
  <c r="S54" i="1"/>
  <c r="AU58" i="1"/>
  <c r="AU59" i="1"/>
  <c r="H60" i="1"/>
  <c r="I60" i="1"/>
  <c r="J60" i="1"/>
  <c r="K60" i="1"/>
  <c r="L60" i="1"/>
  <c r="M60" i="1"/>
  <c r="N60" i="1"/>
  <c r="O60" i="1"/>
  <c r="P60" i="1"/>
  <c r="Q60" i="1"/>
  <c r="R60" i="1"/>
  <c r="S60" i="1"/>
  <c r="S69" i="1"/>
  <c r="T69" i="1"/>
  <c r="AU68" i="1"/>
  <c r="U69" i="1"/>
  <c r="V69" i="1"/>
  <c r="W69" i="1"/>
  <c r="X69" i="1"/>
  <c r="Y69" i="1"/>
  <c r="Z69" i="1"/>
  <c r="AA69" i="1"/>
  <c r="AB69" i="1"/>
  <c r="O75" i="1"/>
  <c r="AU74" i="1"/>
  <c r="H75" i="1"/>
  <c r="U75" i="1"/>
  <c r="V75" i="1"/>
  <c r="W75" i="1"/>
  <c r="X75" i="1"/>
  <c r="Y75" i="1"/>
  <c r="Z75" i="1"/>
  <c r="AA75" i="1"/>
  <c r="AB75" i="1"/>
  <c r="AU93" i="1"/>
  <c r="AU94" i="1"/>
  <c r="AU95" i="1"/>
  <c r="AU96" i="1"/>
  <c r="U98" i="1"/>
  <c r="V98" i="1"/>
  <c r="W98" i="1"/>
  <c r="X98" i="1"/>
  <c r="Y98" i="1"/>
  <c r="Z98" i="1"/>
  <c r="AA98" i="1"/>
  <c r="AB98" i="1"/>
  <c r="V102" i="1" l="1"/>
  <c r="V11" i="1" s="1"/>
  <c r="X102" i="1"/>
  <c r="X11" i="1" s="1"/>
  <c r="U102" i="1"/>
  <c r="U11" i="1" s="1"/>
  <c r="AB102" i="1"/>
  <c r="AB11" i="1" s="1"/>
  <c r="AA102" i="1"/>
  <c r="AA11" i="1" s="1"/>
  <c r="Z102" i="1"/>
  <c r="Z11" i="1" s="1"/>
  <c r="Y102" i="1"/>
  <c r="Y11" i="1" s="1"/>
  <c r="L98" i="1"/>
  <c r="K98" i="1"/>
  <c r="H98" i="1"/>
  <c r="U47" i="1"/>
  <c r="U10" i="1" s="1"/>
  <c r="X47" i="1"/>
  <c r="X10" i="1" s="1"/>
  <c r="Q85" i="1"/>
  <c r="I85" i="1"/>
  <c r="S85" i="1"/>
  <c r="J85" i="1"/>
  <c r="R85" i="1"/>
  <c r="L85" i="1"/>
  <c r="P85" i="1"/>
  <c r="K85" i="1"/>
  <c r="O85" i="1"/>
  <c r="O31" i="1"/>
  <c r="M31" i="1"/>
  <c r="N85" i="1"/>
  <c r="M85" i="1"/>
  <c r="S98" i="1"/>
  <c r="H43" i="1"/>
  <c r="AU40" i="1"/>
  <c r="P31" i="1"/>
  <c r="L31" i="1"/>
  <c r="AU66" i="1"/>
  <c r="R69" i="1"/>
  <c r="N69" i="1"/>
  <c r="AU54" i="1"/>
  <c r="R31" i="1"/>
  <c r="J31" i="1"/>
  <c r="K31" i="1"/>
  <c r="Q31" i="1"/>
  <c r="I31" i="1"/>
  <c r="AA47" i="1"/>
  <c r="AA10" i="1" s="1"/>
  <c r="R98" i="1"/>
  <c r="AU60" i="1"/>
  <c r="W47" i="1"/>
  <c r="W10" i="1" s="1"/>
  <c r="Z47" i="1"/>
  <c r="Z10" i="1" s="1"/>
  <c r="T43" i="1"/>
  <c r="P98" i="1"/>
  <c r="O69" i="1"/>
  <c r="M69" i="1"/>
  <c r="Q43" i="1"/>
  <c r="AU92" i="1"/>
  <c r="AU38" i="1"/>
  <c r="L43" i="1"/>
  <c r="N31" i="1"/>
  <c r="AU91" i="1"/>
  <c r="V47" i="1"/>
  <c r="V10" i="1" s="1"/>
  <c r="M98" i="1"/>
  <c r="L69" i="1"/>
  <c r="J69" i="1"/>
  <c r="Y47" i="1"/>
  <c r="Y10" i="1" s="1"/>
  <c r="J98" i="1"/>
  <c r="Q98" i="1"/>
  <c r="P69" i="1"/>
  <c r="H69" i="1"/>
  <c r="Q69" i="1"/>
  <c r="I69" i="1"/>
  <c r="AB47" i="1"/>
  <c r="AB10" i="1" s="1"/>
  <c r="K43" i="1"/>
  <c r="K47" i="1" s="1"/>
  <c r="K10" i="1" s="1"/>
  <c r="T98" i="1"/>
  <c r="AU37" i="1"/>
  <c r="J43" i="1"/>
  <c r="K69" i="1"/>
  <c r="I43" i="1"/>
  <c r="AU90" i="1"/>
  <c r="R43" i="1"/>
  <c r="R47" i="1" s="1"/>
  <c r="R10" i="1" s="1"/>
  <c r="O98" i="1"/>
  <c r="AU65" i="1"/>
  <c r="N98" i="1"/>
  <c r="AU67" i="1"/>
  <c r="AU73" i="1"/>
  <c r="AU75" i="1" s="1"/>
  <c r="S102" i="1" l="1"/>
  <c r="S11" i="1" s="1"/>
  <c r="N102" i="1"/>
  <c r="N11" i="1" s="1"/>
  <c r="O102" i="1"/>
  <c r="O11" i="1" s="1"/>
  <c r="M102" i="1"/>
  <c r="M11" i="1" s="1"/>
  <c r="R102" i="1"/>
  <c r="R11" i="1" s="1"/>
  <c r="Q102" i="1"/>
  <c r="Q11" i="1" s="1"/>
  <c r="P102" i="1"/>
  <c r="P11" i="1" s="1"/>
  <c r="K102" i="1"/>
  <c r="K11" i="1" s="1"/>
  <c r="J102" i="1"/>
  <c r="J11" i="1" s="1"/>
  <c r="L102" i="1"/>
  <c r="L11" i="1" s="1"/>
  <c r="AU83" i="1"/>
  <c r="H85" i="1"/>
  <c r="H102" i="1" s="1"/>
  <c r="H11" i="1" s="1"/>
  <c r="AU84" i="1"/>
  <c r="AU97" i="1"/>
  <c r="AU98" i="1" s="1"/>
  <c r="I98" i="1"/>
  <c r="I102" i="1" s="1"/>
  <c r="I11" i="1" s="1"/>
  <c r="T85" i="1"/>
  <c r="T102" i="1" s="1"/>
  <c r="T11" i="1" s="1"/>
  <c r="Q47" i="1"/>
  <c r="W85" i="1"/>
  <c r="W102" i="1" s="1"/>
  <c r="W11" i="1" s="1"/>
  <c r="L47" i="1"/>
  <c r="L10" i="1" s="1"/>
  <c r="AU69" i="1"/>
  <c r="T47" i="1"/>
  <c r="T10" i="1" s="1"/>
  <c r="AU31" i="1"/>
  <c r="M43" i="1"/>
  <c r="H47" i="1"/>
  <c r="H10" i="1" s="1"/>
  <c r="AU36" i="1"/>
  <c r="AU43" i="1" s="1"/>
  <c r="S43" i="1"/>
  <c r="P43" i="1"/>
  <c r="N43" i="1"/>
  <c r="I47" i="1"/>
  <c r="I10" i="1" s="1"/>
  <c r="J47" i="1"/>
  <c r="J10" i="1" s="1"/>
  <c r="O43" i="1"/>
  <c r="Q10" i="1" l="1"/>
  <c r="AU11" i="1"/>
  <c r="H12" i="1"/>
  <c r="AU85" i="1"/>
  <c r="AU102" i="1" s="1"/>
  <c r="S47" i="1"/>
  <c r="N47" i="1"/>
  <c r="O47" i="1"/>
  <c r="AU45" i="1"/>
  <c r="AU47" i="1" s="1"/>
  <c r="M47" i="1"/>
  <c r="P47" i="1"/>
  <c r="I9" i="1" l="1"/>
  <c r="I12" i="1" s="1"/>
  <c r="M10" i="1"/>
  <c r="P10" i="1"/>
  <c r="O10" i="1"/>
  <c r="N10" i="1"/>
  <c r="S10" i="1"/>
  <c r="J9" i="1" l="1"/>
  <c r="J12" i="1" s="1"/>
  <c r="K9" i="1" s="1"/>
  <c r="K12" i="1" s="1"/>
  <c r="L9" i="1" s="1"/>
  <c r="L12" i="1" s="1"/>
  <c r="M9" i="1" s="1"/>
  <c r="M12" i="1" s="1"/>
  <c r="N9" i="1" s="1"/>
  <c r="N12" i="1" s="1"/>
  <c r="O9" i="1" s="1"/>
  <c r="O12" i="1" s="1"/>
  <c r="P9" i="1" s="1"/>
  <c r="P12" i="1" s="1"/>
  <c r="Q9" i="1" s="1"/>
  <c r="Q12" i="1" s="1"/>
  <c r="R9" i="1" s="1"/>
  <c r="R12" i="1" s="1"/>
  <c r="S9" i="1" s="1"/>
  <c r="S12" i="1" s="1"/>
  <c r="AU10" i="1"/>
  <c r="T9" i="1" l="1"/>
  <c r="T12" i="1" s="1"/>
  <c r="U9" i="1" s="1"/>
  <c r="U12" i="1" s="1"/>
  <c r="V9" i="1" s="1"/>
  <c r="V12" i="1" s="1"/>
  <c r="W9" i="1" s="1"/>
  <c r="W12" i="1" s="1"/>
  <c r="X9" i="1" s="1"/>
  <c r="X12" i="1" s="1"/>
  <c r="Y9" i="1" l="1"/>
  <c r="Y12" i="1" s="1"/>
  <c r="Z9" i="1" s="1"/>
  <c r="Z12" i="1" s="1"/>
  <c r="AA9" i="1" s="1"/>
  <c r="AA12" i="1" s="1"/>
  <c r="AB9" i="1" s="1"/>
  <c r="AB12" i="1" s="1"/>
  <c r="AC9" i="1" s="1"/>
  <c r="AC12" i="1" s="1"/>
  <c r="AD9" i="1" s="1"/>
  <c r="AD12" i="1" s="1"/>
  <c r="AE9" i="1" s="1"/>
  <c r="AE12" i="1" s="1"/>
  <c r="AF9" i="1" s="1"/>
  <c r="AF12" i="1" s="1"/>
  <c r="AG9" i="1" s="1"/>
  <c r="AG12" i="1" s="1"/>
  <c r="AH9" i="1" s="1"/>
  <c r="AH12" i="1" s="1"/>
  <c r="AI9" i="1" s="1"/>
  <c r="AI12" i="1" s="1"/>
  <c r="AJ9" i="1" s="1"/>
  <c r="AJ12" i="1" s="1"/>
  <c r="AK9" i="1" s="1"/>
  <c r="AK12" i="1" s="1"/>
  <c r="AL9" i="1" s="1"/>
  <c r="AL12" i="1" s="1"/>
  <c r="AM9" i="1" s="1"/>
  <c r="AM12" i="1" s="1"/>
  <c r="AN9" i="1" s="1"/>
  <c r="AN12" i="1" s="1"/>
  <c r="AO9" i="1" s="1"/>
  <c r="AO12" i="1" s="1"/>
  <c r="AP9" i="1" s="1"/>
  <c r="AP12" i="1" s="1"/>
  <c r="AQ9" i="1" s="1"/>
  <c r="AQ12" i="1" s="1"/>
  <c r="AR9" i="1" s="1"/>
  <c r="AR12" i="1" s="1"/>
  <c r="AS9" i="1" s="1"/>
  <c r="AS12" i="1" s="1"/>
  <c r="AU12" i="1" l="1"/>
  <c r="AU9" i="1"/>
</calcChain>
</file>

<file path=xl/sharedStrings.xml><?xml version="1.0" encoding="utf-8"?>
<sst xmlns="http://schemas.openxmlformats.org/spreadsheetml/2006/main" count="117" uniqueCount="80">
  <si>
    <t>TOTAL NON-COMP EXPENSES:</t>
  </si>
  <si>
    <t>Total Other Expenses:</t>
  </si>
  <si>
    <t>5XXX</t>
  </si>
  <si>
    <t>TUITION</t>
  </si>
  <si>
    <t>41xx</t>
  </si>
  <si>
    <t>Other Expenses</t>
  </si>
  <si>
    <t>Total Travel:</t>
  </si>
  <si>
    <t xml:space="preserve"> </t>
  </si>
  <si>
    <t>Travel</t>
  </si>
  <si>
    <t>Total Supplies:</t>
  </si>
  <si>
    <t>SUPPLIES CATEGORY #4</t>
  </si>
  <si>
    <t>Supplies</t>
  </si>
  <si>
    <t>Total Equipment:</t>
  </si>
  <si>
    <t>Equipment</t>
  </si>
  <si>
    <t>Total Consultant:</t>
  </si>
  <si>
    <t>Consultant</t>
  </si>
  <si>
    <t>NON-COMPENSATION EXPENSES</t>
  </si>
  <si>
    <t>TOTAL PERSONNEL:</t>
  </si>
  <si>
    <t xml:space="preserve">  Employee Benefits  P/T</t>
  </si>
  <si>
    <t xml:space="preserve">  Employee Benefits  F/T</t>
  </si>
  <si>
    <t>Subtotal Salary:</t>
  </si>
  <si>
    <t>TBD</t>
  </si>
  <si>
    <t>Research Specialist</t>
  </si>
  <si>
    <t>PI</t>
  </si>
  <si>
    <t>ROLE</t>
  </si>
  <si>
    <t>PERSONNEL</t>
  </si>
  <si>
    <t>Obj. Code</t>
  </si>
  <si>
    <t>PERSONNEL EXPENSES</t>
  </si>
  <si>
    <t>TOTAL AWARD $:</t>
  </si>
  <si>
    <t>PROJECT</t>
  </si>
  <si>
    <t>Account</t>
  </si>
  <si>
    <t>SPONSORED PROJECTS</t>
  </si>
  <si>
    <t>TOTAL PERSONNEL EXPENSES:</t>
  </si>
  <si>
    <t>TOTAL SPONSORED PROJECTS AWARDED:</t>
  </si>
  <si>
    <t>SUMMARY</t>
  </si>
  <si>
    <t>TOTAL</t>
  </si>
  <si>
    <t>NIH CAP:</t>
  </si>
  <si>
    <t>TITLE</t>
  </si>
  <si>
    <t>BUDGET PERIOD:</t>
  </si>
  <si>
    <t>PREPARED BY:</t>
  </si>
  <si>
    <t>NAME</t>
  </si>
  <si>
    <t>Mouse - Small Barrier</t>
  </si>
  <si>
    <t>Mouse - Small Containment</t>
  </si>
  <si>
    <t>Animal Per Diem</t>
  </si>
  <si>
    <t>Cage Count</t>
  </si>
  <si>
    <t>Total Animal Per Diem:</t>
  </si>
  <si>
    <t>BALANCE:</t>
  </si>
  <si>
    <t>NON-COMPENSATION EXPENSES:</t>
  </si>
  <si>
    <t>GENERAL LABS SUPPLIES (ACCOUNT 2)</t>
  </si>
  <si>
    <t>SUPPLIES CATEGORY #3</t>
  </si>
  <si>
    <t>PI TRAVEL (ACCOUNT)</t>
  </si>
  <si>
    <t>Animal Per Diem Budgets</t>
  </si>
  <si>
    <t>ANIMAL PER DIEM (ACCOUNT #1)</t>
  </si>
  <si>
    <t>ANIMAL PER DIEM (ACCOUNT #2)</t>
  </si>
  <si>
    <t>ANIMAL PURCHASES (ACCOUNT #1)</t>
  </si>
  <si>
    <t>ANIMAL PURCHASES (ACCOUNT #2)</t>
  </si>
  <si>
    <t>SHARED SERVICES (Johnson Pavilion)</t>
  </si>
  <si>
    <t>PUBLICATIONS</t>
  </si>
  <si>
    <t>OTHER EXPENSE</t>
  </si>
  <si>
    <t>POST-DOC HEALTH INSURANCE</t>
  </si>
  <si>
    <t>EQUIPMENT</t>
  </si>
  <si>
    <t>CONSULTANT</t>
  </si>
  <si>
    <t>ANIMAL PER DIEM BUDGET</t>
  </si>
  <si>
    <t>LAB PROJECTION FOR 2020-2022</t>
  </si>
  <si>
    <t>Project End</t>
  </si>
  <si>
    <t>Budget End</t>
  </si>
  <si>
    <t>TOTAL AWARDED (DC)</t>
  </si>
  <si>
    <t>n/a</t>
  </si>
  <si>
    <t>Total Expenses (10/31/19)</t>
  </si>
  <si>
    <t>Graduate Student</t>
  </si>
  <si>
    <t>MONTHLY EXPENSE</t>
  </si>
  <si>
    <t>DATE (BALANCES):</t>
  </si>
  <si>
    <t>GENERAL LABS SUPPLIES</t>
  </si>
  <si>
    <t>T32 appointment</t>
  </si>
  <si>
    <t>STARTUP</t>
  </si>
  <si>
    <t>11/1/19 - 12/31/22</t>
  </si>
  <si>
    <t>Doug Steiner</t>
  </si>
  <si>
    <t>PI NAME</t>
  </si>
  <si>
    <t>5#####</t>
  </si>
  <si>
    <t>SPONSOR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</si>
</sst>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_);\(0.0\)"/>
    <numFmt numFmtId="167" formatCode="[$-409]mmm\-yy"/>
  </numFmts>
  <fonts count="16" x14ac:knownFonts="1"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i/>
      <sz val="10"/>
      <name val="Arial"/>
      <family val="2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8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sz val="11"/>
      <color rgb="FFFF000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rgb="FF0000FF"/>
      <name val="Times New Roman"/>
      <family val="1"/>
    </font>
    <font>
      <sz val="11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2" fillId="0" borderId="0">
      <alignment vertical="top"/>
    </xf>
  </cellStyleXfs>
  <cellXfs count="215">
    <xf numFmtId="0" fontId="0" fillId="0" borderId="0" xfId="0"/>
    <xf numFmtId="0" fontId="2" fillId="0" borderId="0" xfId="0" applyFont="1"/>
    <xf numFmtId="164" fontId="4" fillId="0" borderId="0" xfId="1" applyNumberFormat="1" applyFont="1"/>
    <xf numFmtId="164" fontId="2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/>
    <xf numFmtId="10" fontId="2" fillId="0" borderId="0" xfId="0" applyNumberFormat="1" applyFont="1" applyAlignment="1">
      <alignment horizontal="center"/>
    </xf>
    <xf numFmtId="164" fontId="4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center"/>
    </xf>
    <xf numFmtId="10" fontId="5" fillId="0" borderId="0" xfId="0" applyNumberFormat="1" applyFont="1" applyAlignment="1">
      <alignment horizontal="left"/>
    </xf>
    <xf numFmtId="37" fontId="5" fillId="0" borderId="0" xfId="0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5" fillId="0" borderId="0" xfId="1" applyNumberFormat="1" applyFont="1" applyBorder="1" applyAlignment="1">
      <alignment horizontal="right"/>
    </xf>
    <xf numFmtId="1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/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0" fontId="7" fillId="0" borderId="0" xfId="0" applyNumberFormat="1" applyFont="1" applyAlignment="1">
      <alignment horizontal="left"/>
    </xf>
    <xf numFmtId="164" fontId="2" fillId="0" borderId="4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center"/>
    </xf>
    <xf numFmtId="10" fontId="4" fillId="0" borderId="0" xfId="0" applyNumberFormat="1" applyFont="1" applyAlignment="1">
      <alignment horizontal="left"/>
    </xf>
    <xf numFmtId="0" fontId="4" fillId="0" borderId="0" xfId="0" applyNumberFormat="1" applyFont="1" applyFill="1" applyAlignment="1"/>
    <xf numFmtId="0" fontId="2" fillId="0" borderId="0" xfId="0" quotePrefix="1" applyNumberFormat="1" applyFont="1" applyAlignment="1">
      <alignment horizontal="center"/>
    </xf>
    <xf numFmtId="10" fontId="2" fillId="0" borderId="0" xfId="0" applyNumberFormat="1" applyFont="1" applyAlignment="1">
      <alignment horizontal="left"/>
    </xf>
    <xf numFmtId="164" fontId="2" fillId="0" borderId="6" xfId="1" applyNumberFormat="1" applyFont="1" applyBorder="1" applyAlignment="1">
      <alignment horizontal="right"/>
    </xf>
    <xf numFmtId="164" fontId="2" fillId="0" borderId="7" xfId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4" fillId="0" borderId="0" xfId="0" applyNumberFormat="1" applyFont="1" applyAlignment="1"/>
    <xf numFmtId="0" fontId="5" fillId="0" borderId="0" xfId="0" applyFont="1" applyFill="1" applyAlignment="1">
      <alignment horizontal="center"/>
    </xf>
    <xf numFmtId="164" fontId="2" fillId="0" borderId="2" xfId="1" applyNumberFormat="1" applyFont="1" applyBorder="1" applyAlignment="1">
      <alignment horizontal="right"/>
    </xf>
    <xf numFmtId="10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left"/>
    </xf>
    <xf numFmtId="0" fontId="2" fillId="0" borderId="2" xfId="0" applyFont="1" applyBorder="1" applyAlignment="1"/>
    <xf numFmtId="0" fontId="5" fillId="0" borderId="2" xfId="0" applyNumberFormat="1" applyFont="1" applyBorder="1" applyAlignment="1"/>
    <xf numFmtId="164" fontId="2" fillId="0" borderId="7" xfId="1" applyNumberFormat="1" applyFont="1" applyBorder="1" applyAlignment="1">
      <alignment horizontal="right"/>
    </xf>
    <xf numFmtId="0" fontId="4" fillId="0" borderId="0" xfId="0" applyFont="1" applyFill="1" applyProtection="1">
      <protection locked="0"/>
    </xf>
    <xf numFmtId="37" fontId="2" fillId="0" borderId="0" xfId="0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164" fontId="2" fillId="0" borderId="1" xfId="1" applyNumberFormat="1" applyFont="1" applyFill="1" applyBorder="1" applyAlignment="1">
      <alignment horizontal="right"/>
    </xf>
    <xf numFmtId="10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/>
    <xf numFmtId="0" fontId="2" fillId="0" borderId="0" xfId="0" applyFont="1" applyFill="1"/>
    <xf numFmtId="165" fontId="2" fillId="0" borderId="0" xfId="0" applyNumberFormat="1" applyFont="1" applyFill="1" applyAlignment="1">
      <alignment horizontal="center"/>
    </xf>
    <xf numFmtId="164" fontId="4" fillId="0" borderId="0" xfId="1" applyNumberFormat="1" applyFont="1" applyFill="1" applyAlignment="1">
      <alignment horizontal="center"/>
    </xf>
    <xf numFmtId="37" fontId="2" fillId="0" borderId="0" xfId="0" applyNumberFormat="1" applyFont="1" applyFill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0" fontId="9" fillId="0" borderId="0" xfId="0" applyNumberFormat="1" applyFont="1" applyFill="1" applyAlignment="1"/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left"/>
    </xf>
    <xf numFmtId="164" fontId="4" fillId="0" borderId="4" xfId="1" applyNumberFormat="1" applyFont="1" applyFill="1" applyBorder="1" applyProtection="1"/>
    <xf numFmtId="10" fontId="9" fillId="0" borderId="0" xfId="0" applyNumberFormat="1" applyFont="1" applyFill="1" applyBorder="1" applyAlignment="1"/>
    <xf numFmtId="10" fontId="9" fillId="0" borderId="5" xfId="0" applyNumberFormat="1" applyFont="1" applyFill="1" applyBorder="1" applyAlignment="1"/>
    <xf numFmtId="37" fontId="2" fillId="0" borderId="0" xfId="0" applyNumberFormat="1" applyFont="1" applyFill="1" applyAlignment="1" applyProtection="1">
      <alignment horizontal="center"/>
      <protection locked="0"/>
    </xf>
    <xf numFmtId="164" fontId="4" fillId="0" borderId="0" xfId="1" applyNumberFormat="1" applyFont="1" applyFill="1" applyAlignment="1" applyProtection="1">
      <alignment horizontal="center"/>
      <protection locked="0"/>
    </xf>
    <xf numFmtId="164" fontId="2" fillId="0" borderId="4" xfId="1" applyNumberFormat="1" applyFont="1" applyBorder="1" applyProtection="1"/>
    <xf numFmtId="166" fontId="2" fillId="0" borderId="0" xfId="1" applyNumberFormat="1" applyFont="1" applyAlignment="1" applyProtection="1">
      <alignment horizontal="center"/>
      <protection locked="0"/>
    </xf>
    <xf numFmtId="0" fontId="10" fillId="0" borderId="0" xfId="3" applyNumberFormat="1" applyFont="1" applyAlignment="1" applyProtection="1">
      <alignment horizontal="center"/>
      <protection locked="0"/>
    </xf>
    <xf numFmtId="0" fontId="10" fillId="0" borderId="0" xfId="3" applyFont="1" applyProtection="1">
      <protection locked="0"/>
    </xf>
    <xf numFmtId="0" fontId="4" fillId="0" borderId="0" xfId="0" applyNumberFormat="1" applyFont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5" fillId="0" borderId="8" xfId="1" applyNumberFormat="1" applyFont="1" applyBorder="1" applyAlignment="1">
      <alignment horizontal="center"/>
    </xf>
    <xf numFmtId="9" fontId="5" fillId="0" borderId="0" xfId="2" applyFont="1" applyAlignment="1">
      <alignment horizontal="center"/>
    </xf>
    <xf numFmtId="0" fontId="5" fillId="0" borderId="0" xfId="0" applyFont="1" applyAlignment="1">
      <alignment horizontal="center" wrapText="1"/>
    </xf>
    <xf numFmtId="9" fontId="5" fillId="0" borderId="2" xfId="2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37" fontId="2" fillId="0" borderId="0" xfId="0" applyNumberFormat="1" applyFont="1" applyAlignment="1">
      <alignment horizontal="right"/>
    </xf>
    <xf numFmtId="43" fontId="2" fillId="0" borderId="0" xfId="1" applyFont="1" applyAlignment="1">
      <alignment horizontal="left"/>
    </xf>
    <xf numFmtId="0" fontId="5" fillId="0" borderId="0" xfId="0" applyFont="1"/>
    <xf numFmtId="9" fontId="5" fillId="0" borderId="0" xfId="2" applyFont="1" applyAlignment="1">
      <alignment horizontal="left"/>
    </xf>
    <xf numFmtId="164" fontId="5" fillId="0" borderId="3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NumberFormat="1" applyFont="1" applyAlignment="1">
      <alignment horizontal="center" wrapText="1"/>
    </xf>
    <xf numFmtId="0" fontId="5" fillId="0" borderId="0" xfId="0" applyNumberFormat="1" applyFont="1" applyBorder="1" applyAlignment="1"/>
    <xf numFmtId="164" fontId="5" fillId="2" borderId="0" xfId="1" applyNumberFormat="1" applyFont="1" applyFill="1" applyBorder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 wrapText="1"/>
    </xf>
    <xf numFmtId="0" fontId="2" fillId="2" borderId="0" xfId="0" applyFont="1" applyFill="1"/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/>
    <xf numFmtId="164" fontId="5" fillId="2" borderId="2" xfId="1" applyNumberFormat="1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center"/>
    </xf>
    <xf numFmtId="167" fontId="5" fillId="2" borderId="0" xfId="0" applyNumberFormat="1" applyFont="1" applyFill="1" applyBorder="1" applyAlignment="1">
      <alignment horizontal="center"/>
    </xf>
    <xf numFmtId="167" fontId="5" fillId="2" borderId="0" xfId="1" applyNumberFormat="1" applyFont="1" applyFill="1" applyBorder="1" applyAlignment="1">
      <alignment horizontal="center"/>
    </xf>
    <xf numFmtId="0" fontId="5" fillId="2" borderId="0" xfId="0" applyNumberFormat="1" applyFont="1" applyFill="1" applyBorder="1" applyAlignment="1"/>
    <xf numFmtId="164" fontId="4" fillId="0" borderId="0" xfId="1" applyNumberFormat="1" applyFont="1" applyFill="1"/>
    <xf numFmtId="164" fontId="5" fillId="0" borderId="9" xfId="1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67" fontId="5" fillId="0" borderId="9" xfId="1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/>
    <xf numFmtId="0" fontId="2" fillId="0" borderId="0" xfId="0" applyNumberFormat="1" applyFont="1"/>
    <xf numFmtId="0" fontId="5" fillId="0" borderId="0" xfId="0" applyNumberFormat="1" applyFont="1" applyAlignment="1">
      <alignment horizontal="right"/>
    </xf>
    <xf numFmtId="0" fontId="2" fillId="0" borderId="0" xfId="0" applyNumberFormat="1" applyFont="1" applyBorder="1" applyAlignment="1">
      <alignment horizontal="center"/>
    </xf>
    <xf numFmtId="164" fontId="6" fillId="0" borderId="0" xfId="1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0" fontId="5" fillId="0" borderId="1" xfId="0" applyNumberFormat="1" applyFont="1" applyBorder="1" applyAlignment="1"/>
    <xf numFmtId="0" fontId="2" fillId="0" borderId="1" xfId="0" applyNumberFormat="1" applyFont="1" applyBorder="1"/>
    <xf numFmtId="0" fontId="5" fillId="0" borderId="3" xfId="0" applyNumberFormat="1" applyFont="1" applyBorder="1" applyAlignment="1"/>
    <xf numFmtId="0" fontId="4" fillId="0" borderId="1" xfId="0" applyNumberFormat="1" applyFont="1" applyBorder="1" applyAlignment="1">
      <alignment horizontal="left"/>
    </xf>
    <xf numFmtId="0" fontId="5" fillId="0" borderId="2" xfId="0" applyNumberFormat="1" applyFont="1" applyBorder="1"/>
    <xf numFmtId="39" fontId="4" fillId="0" borderId="1" xfId="1" applyNumberFormat="1" applyFont="1" applyBorder="1" applyAlignment="1">
      <alignment horizontal="left"/>
    </xf>
    <xf numFmtId="0" fontId="5" fillId="0" borderId="3" xfId="0" quotePrefix="1" applyNumberFormat="1" applyFont="1" applyBorder="1" applyAlignment="1"/>
    <xf numFmtId="0" fontId="2" fillId="0" borderId="4" xfId="0" applyFont="1" applyBorder="1"/>
    <xf numFmtId="0" fontId="2" fillId="0" borderId="0" xfId="0" applyFont="1" applyBorder="1"/>
    <xf numFmtId="0" fontId="5" fillId="0" borderId="5" xfId="0" applyNumberFormat="1" applyFont="1" applyBorder="1"/>
    <xf numFmtId="0" fontId="5" fillId="0" borderId="0" xfId="0" quotePrefix="1" applyNumberFormat="1" applyFont="1" applyBorder="1" applyAlignment="1" applyProtection="1">
      <alignment horizontal="left"/>
      <protection locked="0"/>
    </xf>
    <xf numFmtId="0" fontId="5" fillId="0" borderId="5" xfId="0" applyNumberFormat="1" applyFont="1" applyBorder="1" applyAlignment="1" applyProtection="1">
      <protection locked="0"/>
    </xf>
    <xf numFmtId="0" fontId="5" fillId="0" borderId="7" xfId="0" quotePrefix="1" applyNumberFormat="1" applyFont="1" applyBorder="1" applyAlignment="1" applyProtection="1">
      <alignment horizontal="left"/>
      <protection locked="0"/>
    </xf>
    <xf numFmtId="0" fontId="5" fillId="0" borderId="8" xfId="0" applyNumberFormat="1" applyFont="1" applyBorder="1" applyAlignment="1" applyProtection="1">
      <protection locked="0"/>
    </xf>
    <xf numFmtId="0" fontId="2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/>
    <xf numFmtId="0" fontId="5" fillId="3" borderId="0" xfId="0" applyNumberFormat="1" applyFont="1" applyFill="1" applyAlignment="1">
      <alignment horizontal="center" wrapText="1"/>
    </xf>
    <xf numFmtId="0" fontId="5" fillId="3" borderId="0" xfId="0" applyNumberFormat="1" applyFont="1" applyFill="1" applyAlignment="1">
      <alignment horizontal="center"/>
    </xf>
    <xf numFmtId="164" fontId="5" fillId="3" borderId="0" xfId="1" applyNumberFormat="1" applyFont="1" applyFill="1" applyBorder="1" applyAlignment="1">
      <alignment horizontal="center"/>
    </xf>
    <xf numFmtId="0" fontId="5" fillId="2" borderId="2" xfId="0" applyFont="1" applyFill="1" applyBorder="1" applyAlignment="1"/>
    <xf numFmtId="0" fontId="2" fillId="2" borderId="2" xfId="0" applyFont="1" applyFill="1" applyBorder="1"/>
    <xf numFmtId="0" fontId="5" fillId="2" borderId="2" xfId="0" applyNumberFormat="1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/>
    </xf>
    <xf numFmtId="0" fontId="1" fillId="0" borderId="0" xfId="3"/>
    <xf numFmtId="0" fontId="1" fillId="0" borderId="2" xfId="3" applyBorder="1"/>
    <xf numFmtId="0" fontId="2" fillId="0" borderId="2" xfId="0" applyFont="1" applyBorder="1"/>
    <xf numFmtId="167" fontId="5" fillId="0" borderId="2" xfId="4" applyNumberFormat="1" applyFont="1" applyFill="1" applyBorder="1" applyAlignment="1">
      <alignment horizontal="center"/>
    </xf>
    <xf numFmtId="167" fontId="5" fillId="0" borderId="2" xfId="3" applyNumberFormat="1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0" fontId="4" fillId="0" borderId="0" xfId="2" applyNumberFormat="1" applyFont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8" xfId="1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2" fillId="0" borderId="2" xfId="1" applyNumberFormat="1" applyFont="1" applyBorder="1"/>
    <xf numFmtId="164" fontId="5" fillId="0" borderId="8" xfId="4" applyNumberFormat="1" applyFont="1" applyBorder="1" applyAlignment="1">
      <alignment horizontal="right"/>
    </xf>
    <xf numFmtId="164" fontId="5" fillId="0" borderId="7" xfId="4" applyNumberFormat="1" applyFont="1" applyBorder="1" applyAlignment="1">
      <alignment horizontal="right"/>
    </xf>
    <xf numFmtId="167" fontId="5" fillId="0" borderId="3" xfId="4" applyNumberFormat="1" applyFont="1" applyFill="1" applyBorder="1" applyAlignment="1">
      <alignment horizontal="center"/>
    </xf>
    <xf numFmtId="164" fontId="13" fillId="0" borderId="8" xfId="1" applyNumberFormat="1" applyFont="1" applyBorder="1"/>
    <xf numFmtId="164" fontId="13" fillId="0" borderId="7" xfId="1" applyNumberFormat="1" applyFont="1" applyBorder="1"/>
    <xf numFmtId="164" fontId="13" fillId="0" borderId="3" xfId="1" applyNumberFormat="1" applyFont="1" applyBorder="1"/>
    <xf numFmtId="164" fontId="13" fillId="0" borderId="2" xfId="1" applyNumberFormat="1" applyFont="1" applyBorder="1"/>
    <xf numFmtId="0" fontId="13" fillId="0" borderId="0" xfId="3" applyFont="1"/>
    <xf numFmtId="0" fontId="13" fillId="0" borderId="0" xfId="3" applyFont="1" applyAlignment="1">
      <alignment horizontal="left"/>
    </xf>
    <xf numFmtId="164" fontId="6" fillId="0" borderId="0" xfId="1" applyNumberFormat="1" applyFont="1" applyFill="1" applyAlignment="1">
      <alignment horizontal="center"/>
    </xf>
    <xf numFmtId="43" fontId="13" fillId="0" borderId="7" xfId="1" applyNumberFormat="1" applyFont="1" applyBorder="1"/>
    <xf numFmtId="0" fontId="5" fillId="0" borderId="2" xfId="0" applyFont="1" applyBorder="1"/>
    <xf numFmtId="0" fontId="2" fillId="0" borderId="2" xfId="0" applyNumberFormat="1" applyFont="1" applyBorder="1" applyAlignment="1"/>
    <xf numFmtId="0" fontId="11" fillId="0" borderId="2" xfId="3" applyFont="1" applyBorder="1"/>
    <xf numFmtId="164" fontId="5" fillId="0" borderId="8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10" xfId="1" applyNumberFormat="1" applyFont="1" applyBorder="1" applyAlignment="1">
      <alignment horizontal="center"/>
    </xf>
    <xf numFmtId="164" fontId="2" fillId="0" borderId="11" xfId="1" applyNumberFormat="1" applyFont="1" applyBorder="1" applyAlignment="1">
      <alignment horizontal="right"/>
    </xf>
    <xf numFmtId="37" fontId="5" fillId="0" borderId="0" xfId="0" applyNumberFormat="1" applyFont="1" applyBorder="1" applyAlignment="1">
      <alignment horizontal="center"/>
    </xf>
    <xf numFmtId="43" fontId="4" fillId="0" borderId="0" xfId="1" applyFont="1" applyAlignment="1">
      <alignment horizontal="left"/>
    </xf>
    <xf numFmtId="3" fontId="5" fillId="0" borderId="0" xfId="1" applyNumberFormat="1" applyFont="1" applyAlignment="1">
      <alignment horizontal="center"/>
    </xf>
    <xf numFmtId="0" fontId="15" fillId="0" borderId="0" xfId="3" applyNumberFormat="1" applyFont="1" applyAlignment="1" applyProtection="1">
      <alignment horizontal="center"/>
      <protection locked="0"/>
    </xf>
    <xf numFmtId="164" fontId="4" fillId="4" borderId="0" xfId="1" applyNumberFormat="1" applyFont="1" applyFill="1" applyBorder="1" applyAlignment="1">
      <alignment horizontal="center"/>
    </xf>
    <xf numFmtId="164" fontId="4" fillId="5" borderId="0" xfId="1" applyNumberFormat="1" applyFont="1" applyFill="1" applyBorder="1" applyAlignment="1">
      <alignment horizontal="center"/>
    </xf>
    <xf numFmtId="164" fontId="14" fillId="4" borderId="5" xfId="1" applyNumberFormat="1" applyFont="1" applyFill="1" applyBorder="1" applyAlignment="1">
      <alignment horizontal="center"/>
    </xf>
    <xf numFmtId="164" fontId="14" fillId="4" borderId="0" xfId="1" applyNumberFormat="1" applyFont="1" applyFill="1" applyBorder="1" applyAlignment="1">
      <alignment horizontal="center"/>
    </xf>
    <xf numFmtId="164" fontId="4" fillId="6" borderId="0" xfId="1" applyNumberFormat="1" applyFont="1" applyFill="1" applyBorder="1" applyAlignment="1">
      <alignment horizontal="center"/>
    </xf>
    <xf numFmtId="164" fontId="14" fillId="0" borderId="5" xfId="1" applyNumberFormat="1" applyFont="1" applyBorder="1" applyAlignment="1">
      <alignment horizontal="center"/>
    </xf>
    <xf numFmtId="164" fontId="14" fillId="0" borderId="0" xfId="1" applyNumberFormat="1" applyFont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0" fontId="14" fillId="0" borderId="0" xfId="0" applyFont="1" applyFill="1" applyProtection="1">
      <protection locked="0"/>
    </xf>
    <xf numFmtId="164" fontId="14" fillId="0" borderId="8" xfId="1" applyNumberFormat="1" applyFont="1" applyBorder="1" applyAlignment="1">
      <alignment horizontal="center"/>
    </xf>
    <xf numFmtId="164" fontId="14" fillId="0" borderId="7" xfId="1" applyNumberFormat="1" applyFont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 applyBorder="1" applyAlignment="1" applyProtection="1">
      <alignment horizontal="center"/>
      <protection locked="0"/>
    </xf>
    <xf numFmtId="164" fontId="5" fillId="0" borderId="0" xfId="1" quotePrefix="1" applyNumberFormat="1" applyFont="1" applyBorder="1" applyAlignment="1">
      <alignment horizontal="center" wrapText="1"/>
    </xf>
    <xf numFmtId="0" fontId="5" fillId="0" borderId="0" xfId="0" quotePrefix="1" applyNumberFormat="1" applyFont="1" applyBorder="1" applyAlignment="1">
      <alignment horizontal="center" wrapText="1"/>
    </xf>
    <xf numFmtId="0" fontId="4" fillId="0" borderId="0" xfId="0" applyFont="1" applyBorder="1"/>
    <xf numFmtId="10" fontId="4" fillId="0" borderId="0" xfId="2" applyNumberFormat="1" applyFont="1" applyBorder="1" applyAlignment="1">
      <alignment horizontal="center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4" xfId="0" applyNumberFormat="1" applyFont="1" applyBorder="1" applyAlignment="1" applyProtection="1">
      <alignment horizontal="left"/>
      <protection locked="0"/>
    </xf>
    <xf numFmtId="0" fontId="4" fillId="0" borderId="4" xfId="0" applyNumberFormat="1" applyFont="1" applyBorder="1" applyAlignment="1"/>
    <xf numFmtId="14" fontId="4" fillId="0" borderId="4" xfId="0" quotePrefix="1" applyNumberFormat="1" applyFont="1" applyBorder="1" applyAlignment="1" applyProtection="1">
      <alignment horizontal="left"/>
      <protection locked="0"/>
    </xf>
    <xf numFmtId="0" fontId="4" fillId="0" borderId="6" xfId="0" quotePrefix="1" applyNumberFormat="1" applyFont="1" applyBorder="1" applyAlignment="1" applyProtection="1">
      <alignment horizontal="left"/>
      <protection locked="0"/>
    </xf>
    <xf numFmtId="3" fontId="4" fillId="0" borderId="0" xfId="1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3" fontId="4" fillId="0" borderId="0" xfId="0" applyNumberFormat="1" applyFont="1" applyAlignment="1" applyProtection="1">
      <alignment horizontal="center"/>
      <protection locked="0"/>
    </xf>
    <xf numFmtId="166" fontId="4" fillId="0" borderId="0" xfId="1" applyNumberFormat="1" applyFont="1" applyAlignment="1" applyProtection="1">
      <alignment horizontal="center"/>
      <protection locked="0"/>
    </xf>
    <xf numFmtId="164" fontId="4" fillId="0" borderId="5" xfId="0" applyNumberFormat="1" applyFont="1" applyFill="1" applyBorder="1" applyAlignment="1"/>
    <xf numFmtId="164" fontId="4" fillId="0" borderId="0" xfId="0" applyNumberFormat="1" applyFont="1" applyFill="1" applyBorder="1" applyAlignment="1"/>
    <xf numFmtId="164" fontId="6" fillId="0" borderId="8" xfId="1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</cellXfs>
  <cellStyles count="6">
    <cellStyle name="Comma" xfId="1" builtinId="3"/>
    <cellStyle name="Comma 2" xfId="4"/>
    <cellStyle name="Normal" xfId="0" builtinId="0"/>
    <cellStyle name="Normal 2" xfId="3"/>
    <cellStyle name="Normal 3" xfId="5"/>
    <cellStyle name="Percent" xfId="2" builtinId="5"/>
  </cellStyles>
  <dxfs count="0"/>
  <tableStyles count="0" defaultTableStyle="TableStyleMedium2" defaultPivotStyle="PivotStyleLight16"/>
  <colors>
    <mruColors>
      <color rgb="FF0000FF"/>
      <color rgb="FF60943C"/>
      <color rgb="FFBEBEBE"/>
      <color rgb="FF242424"/>
      <color rgb="FF5E913B"/>
      <color rgb="FFFF0000"/>
      <color rgb="FFE93535"/>
      <color rgb="FF920000"/>
      <color rgb="FFD9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[name] Lab</a:t>
            </a:r>
            <a:r>
              <a:rPr lang="en-US" baseline="0"/>
              <a:t> Sponsored Projects Projection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436965783543316E-2"/>
          <c:y val="7.3328044138267434E-2"/>
          <c:w val="0.94287569461424392"/>
          <c:h val="0.90286080597131435"/>
        </c:manualLayout>
      </c:layout>
      <c:areaChart>
        <c:grouping val="stacked"/>
        <c:varyColors val="0"/>
        <c:ser>
          <c:idx val="0"/>
          <c:order val="0"/>
          <c:tx>
            <c:v>Sponsored Projects Funds Remaining</c:v>
          </c:tx>
          <c:spPr>
            <a:pattFill prst="trellis">
              <a:fgClr>
                <a:srgbClr val="5E913B"/>
              </a:fgClr>
              <a:bgClr>
                <a:schemeClr val="bg1"/>
              </a:bgClr>
            </a:pattFill>
            <a:ln w="41275">
              <a:solidFill>
                <a:srgbClr val="60943C"/>
              </a:solidFill>
              <a:prstDash val="dash"/>
            </a:ln>
            <a:effectLst>
              <a:innerShdw blurRad="114300">
                <a:schemeClr val="accent6">
                  <a:lumMod val="75000"/>
                </a:schemeClr>
              </a:innerShdw>
            </a:effectLst>
          </c:spPr>
          <c:cat>
            <c:numRef>
              <c:f>'Lab Projection 2020-22'!$H$7:$AQ$7</c:f>
              <c:numCache>
                <c:formatCode>[$-409]mmm\-yy</c:formatCode>
                <c:ptCount val="36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</c:numCache>
            </c:numRef>
          </c:cat>
          <c:val>
            <c:numRef>
              <c:f>'Lab Projection 2020-22'!$H$9:$AQ$9</c:f>
              <c:numCache>
                <c:formatCode>_(* #,##0_);_(* \(#,##0\);_(* "-"??_);_(@_)</c:formatCode>
                <c:ptCount val="36"/>
                <c:pt idx="0">
                  <c:v>48813.278059471108</c:v>
                </c:pt>
                <c:pt idx="1">
                  <c:v>61264.906118942214</c:v>
                </c:pt>
                <c:pt idx="2">
                  <c:v>77639.714178413313</c:v>
                </c:pt>
                <c:pt idx="3">
                  <c:v>95353.875537884407</c:v>
                </c:pt>
                <c:pt idx="4">
                  <c:v>112684.1077963555</c:v>
                </c:pt>
                <c:pt idx="5">
                  <c:v>129618.8930807966</c:v>
                </c:pt>
                <c:pt idx="6">
                  <c:v>146146.36798198678</c:v>
                </c:pt>
                <c:pt idx="7">
                  <c:v>161502.96699795238</c:v>
                </c:pt>
                <c:pt idx="8">
                  <c:v>172117.66542832711</c:v>
                </c:pt>
                <c:pt idx="9">
                  <c:v>180281.01291665432</c:v>
                </c:pt>
                <c:pt idx="10">
                  <c:v>187985.92898022817</c:v>
                </c:pt>
                <c:pt idx="11">
                  <c:v>195564.99817630605</c:v>
                </c:pt>
                <c:pt idx="12">
                  <c:v>202657.7174738631</c:v>
                </c:pt>
                <c:pt idx="13">
                  <c:v>209249.49637594368</c:v>
                </c:pt>
                <c:pt idx="14">
                  <c:v>215325.30667068349</c:v>
                </c:pt>
                <c:pt idx="15">
                  <c:v>220869.66929986232</c:v>
                </c:pt>
                <c:pt idx="16">
                  <c:v>225866.64083351332</c:v>
                </c:pt>
                <c:pt idx="17">
                  <c:v>225701.41306818242</c:v>
                </c:pt>
                <c:pt idx="18">
                  <c:v>227726.15808960606</c:v>
                </c:pt>
                <c:pt idx="19">
                  <c:v>225545.08741472024</c:v>
                </c:pt>
                <c:pt idx="20">
                  <c:v>221063.93842180228</c:v>
                </c:pt>
                <c:pt idx="21">
                  <c:v>215441.82062333627</c:v>
                </c:pt>
                <c:pt idx="22">
                  <c:v>209527.22173015572</c:v>
                </c:pt>
                <c:pt idx="23">
                  <c:v>204721.52583441921</c:v>
                </c:pt>
                <c:pt idx="24">
                  <c:v>199222.41127605009</c:v>
                </c:pt>
                <c:pt idx="25">
                  <c:v>193009.07549516935</c:v>
                </c:pt>
                <c:pt idx="26">
                  <c:v>186060.09185510167</c:v>
                </c:pt>
                <c:pt idx="27">
                  <c:v>178353.3909200714</c:v>
                </c:pt>
                <c:pt idx="28">
                  <c:v>169866.24117122969</c:v>
                </c:pt>
                <c:pt idx="29">
                  <c:v>160575.22914416221</c:v>
                </c:pt>
                <c:pt idx="30">
                  <c:v>150456.23897052216</c:v>
                </c:pt>
                <c:pt idx="31">
                  <c:v>139484.43130591238</c:v>
                </c:pt>
                <c:pt idx="32">
                  <c:v>124467.55495893712</c:v>
                </c:pt>
                <c:pt idx="33">
                  <c:v>103331.58036912541</c:v>
                </c:pt>
                <c:pt idx="34">
                  <c:v>81263.709080858796</c:v>
                </c:pt>
                <c:pt idx="35">
                  <c:v>58235.984193183656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7-4D8B-A094-0DCD8ED8F257}"/>
            </c:ext>
          </c:extLst>
        </c:ser>
        <c:ser>
          <c:idx val="1"/>
          <c:order val="1"/>
          <c:tx>
            <c:v>Personnel</c:v>
          </c:tx>
          <c:spPr>
            <a:pattFill prst="ltUpDiag">
              <a:fgClr>
                <a:srgbClr val="E93535"/>
              </a:fgClr>
              <a:bgClr>
                <a:schemeClr val="bg1"/>
              </a:bgClr>
            </a:pattFill>
            <a:ln>
              <a:noFill/>
            </a:ln>
            <a:effectLst>
              <a:innerShdw blurRad="114300">
                <a:srgbClr val="FF0000"/>
              </a:innerShdw>
            </a:effectLst>
          </c:spPr>
          <c:cat>
            <c:numRef>
              <c:f>'Lab Projection 2020-22'!$H$7:$AQ$7</c:f>
              <c:numCache>
                <c:formatCode>[$-409]mmm\-yy</c:formatCode>
                <c:ptCount val="36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</c:numCache>
            </c:numRef>
          </c:cat>
          <c:val>
            <c:numRef>
              <c:f>'Lab Projection 2020-22'!$H$10:$AQ$10</c:f>
              <c:numCache>
                <c:formatCode>_(* #,##0_);_(* \(#,##0\);_(* "-"??_);_(@_)</c:formatCode>
                <c:ptCount val="36"/>
                <c:pt idx="0">
                  <c:v>-24298.65</c:v>
                </c:pt>
                <c:pt idx="1">
                  <c:v>-24298.65</c:v>
                </c:pt>
                <c:pt idx="2">
                  <c:v>-22586.55</c:v>
                </c:pt>
                <c:pt idx="3">
                  <c:v>-22586.55</c:v>
                </c:pt>
                <c:pt idx="4">
                  <c:v>-22586.55</c:v>
                </c:pt>
                <c:pt idx="5">
                  <c:v>-22586.55</c:v>
                </c:pt>
                <c:pt idx="6">
                  <c:v>-22586.55</c:v>
                </c:pt>
                <c:pt idx="7">
                  <c:v>-22586.55</c:v>
                </c:pt>
                <c:pt idx="8">
                  <c:v>-23481.682499999999</c:v>
                </c:pt>
                <c:pt idx="9">
                  <c:v>-23481.682499999999</c:v>
                </c:pt>
                <c:pt idx="10">
                  <c:v>-23135.345000000001</c:v>
                </c:pt>
                <c:pt idx="11">
                  <c:v>-23135.345000000001</c:v>
                </c:pt>
                <c:pt idx="12">
                  <c:v>-23135.345000000001</c:v>
                </c:pt>
                <c:pt idx="13">
                  <c:v>-23135.345000000001</c:v>
                </c:pt>
                <c:pt idx="14">
                  <c:v>-23135.345000000001</c:v>
                </c:pt>
                <c:pt idx="15">
                  <c:v>-23135.345000000001</c:v>
                </c:pt>
                <c:pt idx="16">
                  <c:v>-23135.345000000001</c:v>
                </c:pt>
                <c:pt idx="17">
                  <c:v>-20364.645</c:v>
                </c:pt>
                <c:pt idx="18">
                  <c:v>-20364.645</c:v>
                </c:pt>
                <c:pt idx="19">
                  <c:v>-19671.97</c:v>
                </c:pt>
                <c:pt idx="20">
                  <c:v>-20178.362499999999</c:v>
                </c:pt>
                <c:pt idx="21">
                  <c:v>-19817.23</c:v>
                </c:pt>
                <c:pt idx="22">
                  <c:v>-18035.105</c:v>
                </c:pt>
                <c:pt idx="23">
                  <c:v>-18035.105</c:v>
                </c:pt>
                <c:pt idx="24">
                  <c:v>-18035.105</c:v>
                </c:pt>
                <c:pt idx="25">
                  <c:v>-18035.105</c:v>
                </c:pt>
                <c:pt idx="26">
                  <c:v>-18035.105</c:v>
                </c:pt>
                <c:pt idx="27">
                  <c:v>-18035.105</c:v>
                </c:pt>
                <c:pt idx="28">
                  <c:v>-18035.105</c:v>
                </c:pt>
                <c:pt idx="29">
                  <c:v>-18035.105</c:v>
                </c:pt>
                <c:pt idx="30">
                  <c:v>-18035.105</c:v>
                </c:pt>
                <c:pt idx="31">
                  <c:v>-20285.105</c:v>
                </c:pt>
                <c:pt idx="32">
                  <c:v>-20795.532500000001</c:v>
                </c:pt>
                <c:pt idx="33">
                  <c:v>-20795.532500000001</c:v>
                </c:pt>
                <c:pt idx="34">
                  <c:v>-20795.532500000001</c:v>
                </c:pt>
                <c:pt idx="35">
                  <c:v>-20795.532500000001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D7-4D8B-A094-0DCD8ED8F257}"/>
            </c:ext>
          </c:extLst>
        </c:ser>
        <c:ser>
          <c:idx val="3"/>
          <c:order val="2"/>
          <c:tx>
            <c:v>Non-Compensation Expenses</c:v>
          </c:tx>
          <c:spPr>
            <a:pattFill prst="lgConfetti">
              <a:fgClr>
                <a:srgbClr val="920000"/>
              </a:fgClr>
              <a:bgClr>
                <a:schemeClr val="bg1"/>
              </a:bgClr>
            </a:pattFill>
            <a:ln>
              <a:noFill/>
            </a:ln>
            <a:effectLst>
              <a:innerShdw blurRad="114300">
                <a:srgbClr val="920000"/>
              </a:innerShdw>
            </a:effectLst>
          </c:spPr>
          <c:cat>
            <c:numRef>
              <c:f>'Lab Projection 2020-22'!$H$7:$AQ$7</c:f>
              <c:numCache>
                <c:formatCode>[$-409]mmm\-yy</c:formatCode>
                <c:ptCount val="36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</c:numCache>
            </c:numRef>
          </c:cat>
          <c:val>
            <c:numRef>
              <c:f>'Lab Projection 2020-22'!$H$11:$AQ$11</c:f>
              <c:numCache>
                <c:formatCode>_(* #,##0_);_(* \(#,##0\);_(* "-"??_);_(@_)</c:formatCode>
                <c:ptCount val="36"/>
                <c:pt idx="0">
                  <c:v>-12063</c:v>
                </c:pt>
                <c:pt idx="1">
                  <c:v>-12424.89</c:v>
                </c:pt>
                <c:pt idx="2">
                  <c:v>-12797.636699999999</c:v>
                </c:pt>
                <c:pt idx="3">
                  <c:v>-13181.565800999999</c:v>
                </c:pt>
                <c:pt idx="4">
                  <c:v>-13577.01277503</c:v>
                </c:pt>
                <c:pt idx="5">
                  <c:v>-13984.3231582809</c:v>
                </c:pt>
                <c:pt idx="6">
                  <c:v>-14403.852853029328</c:v>
                </c:pt>
                <c:pt idx="7">
                  <c:v>-14835.968438620208</c:v>
                </c:pt>
                <c:pt idx="8">
                  <c:v>-15281.047491778814</c:v>
                </c:pt>
                <c:pt idx="9">
                  <c:v>-15739.47891653218</c:v>
                </c:pt>
                <c:pt idx="10">
                  <c:v>-16211.663284028145</c:v>
                </c:pt>
                <c:pt idx="11">
                  <c:v>-16698.013182548992</c:v>
                </c:pt>
                <c:pt idx="12">
                  <c:v>-17198.953578025463</c:v>
                </c:pt>
                <c:pt idx="13">
                  <c:v>-17714.922185366227</c:v>
                </c:pt>
                <c:pt idx="14">
                  <c:v>-18246.369850927214</c:v>
                </c:pt>
                <c:pt idx="15">
                  <c:v>-18793.76094645503</c:v>
                </c:pt>
                <c:pt idx="16">
                  <c:v>-19357.573774848683</c:v>
                </c:pt>
                <c:pt idx="17">
                  <c:v>-19938.300988094143</c:v>
                </c:pt>
                <c:pt idx="18">
                  <c:v>-20536.450017736966</c:v>
                </c:pt>
                <c:pt idx="19">
                  <c:v>-21152.543518269074</c:v>
                </c:pt>
                <c:pt idx="20">
                  <c:v>-21787.119823817146</c:v>
                </c:pt>
                <c:pt idx="21">
                  <c:v>-22440.733418531661</c:v>
                </c:pt>
                <c:pt idx="22">
                  <c:v>-23113.955421087612</c:v>
                </c:pt>
                <c:pt idx="23">
                  <c:v>-23807.374083720242</c:v>
                </c:pt>
                <c:pt idx="24">
                  <c:v>-24521.595306231851</c:v>
                </c:pt>
                <c:pt idx="25">
                  <c:v>-25257.243165418808</c:v>
                </c:pt>
                <c:pt idx="26">
                  <c:v>-26014.960460381371</c:v>
                </c:pt>
                <c:pt idx="27">
                  <c:v>-26795.409274192814</c:v>
                </c:pt>
                <c:pt idx="28">
                  <c:v>-27599.271552418599</c:v>
                </c:pt>
                <c:pt idx="29">
                  <c:v>-28427.249698991156</c:v>
                </c:pt>
                <c:pt idx="30">
                  <c:v>-29280.06718996089</c:v>
                </c:pt>
                <c:pt idx="31">
                  <c:v>-31075.135872326384</c:v>
                </c:pt>
                <c:pt idx="32">
                  <c:v>-31979.889948496177</c:v>
                </c:pt>
                <c:pt idx="33">
                  <c:v>-32911.786646951063</c:v>
                </c:pt>
                <c:pt idx="34">
                  <c:v>-33871.640246359595</c:v>
                </c:pt>
                <c:pt idx="35">
                  <c:v>-34860.289453750382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D7-4D8B-A094-0DCD8ED8F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644224"/>
        <c:axId val="371647552"/>
      </c:areaChart>
      <c:dateAx>
        <c:axId val="371644224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rgbClr val="242424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647552"/>
        <c:crosses val="autoZero"/>
        <c:auto val="1"/>
        <c:lblOffset val="100"/>
        <c:baseTimeUnit val="months"/>
      </c:dateAx>
      <c:valAx>
        <c:axId val="37164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EBEBE"/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6442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30228959506732"/>
          <c:y val="7.0868824994299043E-2"/>
          <c:w val="0.31395420809865365"/>
          <c:h val="7.0677309247524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tx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/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olidFill>
        <a:schemeClr val="lt1"/>
      </a:solid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14495</xdr:colOff>
      <xdr:row>0</xdr:row>
      <xdr:rowOff>0</xdr:rowOff>
    </xdr:from>
    <xdr:to>
      <xdr:col>24</xdr:col>
      <xdr:colOff>265044</xdr:colOff>
      <xdr:row>40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showGridLines="0" zoomScale="115" zoomScaleNormal="115" workbookViewId="0">
      <selection activeCell="Z10" sqref="Z10"/>
    </sheetView>
  </sheetViews>
  <sheetFormatPr defaultColWidth="0" defaultRowHeight="12.75" zeroHeight="1" x14ac:dyDescent="0.2"/>
  <cols>
    <col min="1" max="24" width="9.140625" customWidth="1"/>
    <col min="25" max="25" width="3.85546875" customWidth="1"/>
    <col min="26" max="26" width="9.140625" customWidth="1"/>
    <col min="27" max="16383" width="9.140625" hidden="1"/>
    <col min="16384" max="16384" width="9.140625" hidden="1" customWidth="1"/>
  </cols>
  <sheetData>
    <row r="1" x14ac:dyDescent="0.2"/>
    <row r="2" x14ac:dyDescent="0.2"/>
    <row r="3" x14ac:dyDescent="0.2"/>
    <row r="4" x14ac:dyDescent="0.2"/>
    <row r="5" x14ac:dyDescent="0.2"/>
    <row r="6" x14ac:dyDescent="0.2"/>
    <row r="7" x14ac:dyDescent="0.2"/>
    <row r="8" x14ac:dyDescent="0.2"/>
    <row r="9" x14ac:dyDescent="0.2"/>
    <row r="10" x14ac:dyDescent="0.2"/>
    <row r="11" x14ac:dyDescent="0.2"/>
    <row r="12" x14ac:dyDescent="0.2"/>
    <row r="13" x14ac:dyDescent="0.2"/>
    <row r="14" x14ac:dyDescent="0.2"/>
    <row r="15" x14ac:dyDescent="0.2"/>
    <row r="16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9"/>
  <sheetViews>
    <sheetView tabSelected="1" zoomScale="85" zoomScaleNormal="85" workbookViewId="0">
      <pane ySplit="7" topLeftCell="A8" activePane="bottomLeft" state="frozen"/>
      <selection pane="bottomLeft" activeCell="J15" sqref="J15"/>
    </sheetView>
  </sheetViews>
  <sheetFormatPr defaultRowHeight="15" x14ac:dyDescent="0.25"/>
  <cols>
    <col min="1" max="1" width="4.42578125" style="1" customWidth="1"/>
    <col min="2" max="2" width="20.140625" style="6" customWidth="1"/>
    <col min="3" max="3" width="38.5703125" style="5" customWidth="1"/>
    <col min="4" max="4" width="30.7109375" style="1" customWidth="1"/>
    <col min="5" max="5" width="12.7109375" style="4" customWidth="1"/>
    <col min="6" max="6" width="26.42578125" style="1" customWidth="1"/>
    <col min="7" max="7" width="23.85546875" style="1" customWidth="1"/>
    <col min="8" max="19" width="9.5703125" style="3" customWidth="1"/>
    <col min="20" max="45" width="9.5703125" style="1" customWidth="1"/>
    <col min="46" max="46" width="3.85546875" style="1" customWidth="1"/>
    <col min="47" max="47" width="14" style="3" bestFit="1" customWidth="1"/>
    <col min="48" max="48" width="9.140625" style="1" customWidth="1"/>
    <col min="49" max="49" width="24.85546875" style="2" customWidth="1"/>
    <col min="50" max="50" width="17" style="1" customWidth="1"/>
    <col min="51" max="16384" width="9.140625" style="1"/>
  </cols>
  <sheetData>
    <row r="1" spans="1:50" x14ac:dyDescent="0.25">
      <c r="B1" s="131" t="s">
        <v>40</v>
      </c>
      <c r="C1" s="201" t="s">
        <v>77</v>
      </c>
      <c r="D1" s="130" t="s">
        <v>39</v>
      </c>
      <c r="E1" s="205" t="s">
        <v>76</v>
      </c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9"/>
      <c r="AV1" s="113"/>
      <c r="AX1" s="113"/>
    </row>
    <row r="2" spans="1:50" x14ac:dyDescent="0.25">
      <c r="B2" s="129" t="s">
        <v>38</v>
      </c>
      <c r="C2" s="202" t="s">
        <v>75</v>
      </c>
      <c r="D2" s="128" t="s">
        <v>71</v>
      </c>
      <c r="E2" s="204">
        <v>43769</v>
      </c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9"/>
      <c r="AV2" s="113"/>
      <c r="AX2" s="113"/>
    </row>
    <row r="3" spans="1:50" x14ac:dyDescent="0.25">
      <c r="B3" s="127" t="s">
        <v>37</v>
      </c>
      <c r="C3" s="203" t="s">
        <v>63</v>
      </c>
      <c r="D3" s="126"/>
      <c r="E3" s="125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9"/>
      <c r="AV3" s="113"/>
      <c r="AX3" s="113"/>
    </row>
    <row r="4" spans="1:50" hidden="1" x14ac:dyDescent="0.25">
      <c r="B4" s="124" t="s">
        <v>36</v>
      </c>
      <c r="C4" s="123">
        <v>1000000</v>
      </c>
      <c r="D4" s="122"/>
      <c r="E4" s="121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6"/>
      <c r="AV4" s="113"/>
      <c r="AW4" s="8"/>
      <c r="AX4" s="11"/>
    </row>
    <row r="5" spans="1:50" x14ac:dyDescent="0.25">
      <c r="B5" s="120"/>
      <c r="C5" s="119"/>
      <c r="D5" s="47"/>
      <c r="E5" s="11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6"/>
      <c r="AV5" s="113"/>
      <c r="AW5" s="8"/>
      <c r="AX5" s="11"/>
    </row>
    <row r="6" spans="1:50" x14ac:dyDescent="0.25">
      <c r="C6" s="25"/>
      <c r="D6" s="12"/>
      <c r="E6" s="115"/>
      <c r="F6" s="25"/>
      <c r="G6" s="25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6"/>
      <c r="AV6" s="113"/>
      <c r="AW6" s="8"/>
      <c r="AX6" s="11"/>
    </row>
    <row r="7" spans="1:50" s="56" customFormat="1" ht="15.75" thickBot="1" x14ac:dyDescent="0.3">
      <c r="A7" s="112"/>
      <c r="B7" s="111"/>
      <c r="C7" s="110"/>
      <c r="D7" s="109"/>
      <c r="E7" s="108"/>
      <c r="F7" s="107"/>
      <c r="G7" s="107"/>
      <c r="H7" s="106">
        <v>43770</v>
      </c>
      <c r="I7" s="106">
        <v>43800</v>
      </c>
      <c r="J7" s="106">
        <v>43831</v>
      </c>
      <c r="K7" s="106">
        <v>43862</v>
      </c>
      <c r="L7" s="106">
        <v>43891</v>
      </c>
      <c r="M7" s="106">
        <v>43922</v>
      </c>
      <c r="N7" s="106">
        <v>43952</v>
      </c>
      <c r="O7" s="106">
        <v>43983</v>
      </c>
      <c r="P7" s="106">
        <v>44013</v>
      </c>
      <c r="Q7" s="106">
        <v>44044</v>
      </c>
      <c r="R7" s="106">
        <v>44075</v>
      </c>
      <c r="S7" s="106">
        <v>44105</v>
      </c>
      <c r="T7" s="106">
        <v>44136</v>
      </c>
      <c r="U7" s="106">
        <v>44166</v>
      </c>
      <c r="V7" s="106">
        <v>44197</v>
      </c>
      <c r="W7" s="106">
        <v>44228</v>
      </c>
      <c r="X7" s="106">
        <v>44256</v>
      </c>
      <c r="Y7" s="106">
        <v>44287</v>
      </c>
      <c r="Z7" s="106">
        <v>44317</v>
      </c>
      <c r="AA7" s="106">
        <v>44348</v>
      </c>
      <c r="AB7" s="106">
        <v>44378</v>
      </c>
      <c r="AC7" s="106">
        <v>44409</v>
      </c>
      <c r="AD7" s="106">
        <v>44440</v>
      </c>
      <c r="AE7" s="106">
        <v>44470</v>
      </c>
      <c r="AF7" s="106">
        <v>44501</v>
      </c>
      <c r="AG7" s="106">
        <v>44531</v>
      </c>
      <c r="AH7" s="106">
        <v>44562</v>
      </c>
      <c r="AI7" s="106">
        <v>44593</v>
      </c>
      <c r="AJ7" s="106">
        <v>44621</v>
      </c>
      <c r="AK7" s="106">
        <v>44652</v>
      </c>
      <c r="AL7" s="106">
        <v>44682</v>
      </c>
      <c r="AM7" s="106">
        <v>44713</v>
      </c>
      <c r="AN7" s="106">
        <v>44743</v>
      </c>
      <c r="AO7" s="106">
        <v>44774</v>
      </c>
      <c r="AP7" s="106">
        <v>44805</v>
      </c>
      <c r="AQ7" s="106">
        <v>44835</v>
      </c>
      <c r="AR7" s="106">
        <v>44866</v>
      </c>
      <c r="AS7" s="106">
        <v>44896</v>
      </c>
      <c r="AT7" s="105"/>
      <c r="AU7" s="104" t="s">
        <v>35</v>
      </c>
      <c r="AV7" s="62"/>
      <c r="AW7" s="103"/>
    </row>
    <row r="8" spans="1:50" x14ac:dyDescent="0.25">
      <c r="A8" s="102" t="s">
        <v>34</v>
      </c>
      <c r="B8" s="96"/>
      <c r="C8" s="97"/>
      <c r="D8" s="94"/>
      <c r="E8" s="93"/>
      <c r="F8" s="92"/>
      <c r="G8" s="92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99"/>
      <c r="AU8" s="91"/>
      <c r="AV8" s="11"/>
    </row>
    <row r="9" spans="1:50" x14ac:dyDescent="0.25">
      <c r="A9" s="94"/>
      <c r="B9" s="96"/>
      <c r="C9" s="95" t="s">
        <v>33</v>
      </c>
      <c r="D9" s="94"/>
      <c r="E9" s="93"/>
      <c r="F9" s="92"/>
      <c r="G9" s="92"/>
      <c r="H9" s="91">
        <f t="shared" ref="H9" si="0">H31</f>
        <v>48813.278059471108</v>
      </c>
      <c r="I9" s="91">
        <f>I31+H12</f>
        <v>61264.906118942214</v>
      </c>
      <c r="J9" s="91">
        <f>J31+I12</f>
        <v>77639.714178413313</v>
      </c>
      <c r="K9" s="91">
        <f>K31+J12</f>
        <v>95353.875537884407</v>
      </c>
      <c r="L9" s="91">
        <f t="shared" ref="L9:AD9" si="1">L31+K12</f>
        <v>112684.1077963555</v>
      </c>
      <c r="M9" s="91">
        <f t="shared" si="1"/>
        <v>129618.8930807966</v>
      </c>
      <c r="N9" s="91">
        <f t="shared" si="1"/>
        <v>146146.36798198678</v>
      </c>
      <c r="O9" s="91">
        <f t="shared" si="1"/>
        <v>161502.96699795238</v>
      </c>
      <c r="P9" s="91">
        <f t="shared" si="1"/>
        <v>172117.66542832711</v>
      </c>
      <c r="Q9" s="91">
        <f t="shared" si="1"/>
        <v>180281.01291665432</v>
      </c>
      <c r="R9" s="91">
        <f t="shared" si="1"/>
        <v>187985.92898022817</v>
      </c>
      <c r="S9" s="91">
        <f t="shared" si="1"/>
        <v>195564.99817630605</v>
      </c>
      <c r="T9" s="91">
        <f t="shared" si="1"/>
        <v>202657.7174738631</v>
      </c>
      <c r="U9" s="91">
        <f t="shared" si="1"/>
        <v>209249.49637594368</v>
      </c>
      <c r="V9" s="91">
        <f t="shared" si="1"/>
        <v>215325.30667068349</v>
      </c>
      <c r="W9" s="91">
        <f t="shared" si="1"/>
        <v>220869.66929986232</v>
      </c>
      <c r="X9" s="91">
        <f t="shared" si="1"/>
        <v>225866.64083351332</v>
      </c>
      <c r="Y9" s="91">
        <f>Y31+X12</f>
        <v>225701.41306818242</v>
      </c>
      <c r="Z9" s="91">
        <f t="shared" si="1"/>
        <v>227726.15808960606</v>
      </c>
      <c r="AA9" s="91">
        <f t="shared" si="1"/>
        <v>225545.08741472024</v>
      </c>
      <c r="AB9" s="91">
        <f t="shared" si="1"/>
        <v>221063.93842180228</v>
      </c>
      <c r="AC9" s="91">
        <f t="shared" si="1"/>
        <v>215441.82062333627</v>
      </c>
      <c r="AD9" s="91">
        <f t="shared" si="1"/>
        <v>209527.22173015572</v>
      </c>
      <c r="AE9" s="91">
        <f>AE31+AD12</f>
        <v>204721.52583441921</v>
      </c>
      <c r="AF9" s="91">
        <f t="shared" ref="AF9:AL9" si="2">AF31+AE12</f>
        <v>199222.41127605009</v>
      </c>
      <c r="AG9" s="91">
        <f t="shared" si="2"/>
        <v>193009.07549516935</v>
      </c>
      <c r="AH9" s="91">
        <f t="shared" si="2"/>
        <v>186060.09185510167</v>
      </c>
      <c r="AI9" s="91">
        <f t="shared" si="2"/>
        <v>178353.3909200714</v>
      </c>
      <c r="AJ9" s="91">
        <f t="shared" si="2"/>
        <v>169866.24117122969</v>
      </c>
      <c r="AK9" s="91">
        <f t="shared" si="2"/>
        <v>160575.22914416221</v>
      </c>
      <c r="AL9" s="91">
        <f t="shared" si="2"/>
        <v>150456.23897052216</v>
      </c>
      <c r="AM9" s="91">
        <f t="shared" ref="AM9:AS9" si="3">AM31+AL12</f>
        <v>139484.43130591238</v>
      </c>
      <c r="AN9" s="91">
        <f t="shared" si="3"/>
        <v>124467.55495893712</v>
      </c>
      <c r="AO9" s="91">
        <f t="shared" si="3"/>
        <v>103331.58036912541</v>
      </c>
      <c r="AP9" s="91">
        <f t="shared" si="3"/>
        <v>81263.709080858796</v>
      </c>
      <c r="AQ9" s="91">
        <f t="shared" si="3"/>
        <v>58235.984193183656</v>
      </c>
      <c r="AR9" s="91">
        <f t="shared" si="3"/>
        <v>34219.61009811773</v>
      </c>
      <c r="AS9" s="91">
        <f t="shared" si="3"/>
        <v>-1338.2388967769293</v>
      </c>
      <c r="AT9" s="91"/>
      <c r="AU9" s="91">
        <f>SUM(H9:AT9)</f>
        <v>5949877.0210310705</v>
      </c>
      <c r="AV9" s="11"/>
    </row>
    <row r="10" spans="1:50" x14ac:dyDescent="0.25">
      <c r="A10" s="94"/>
      <c r="B10" s="96"/>
      <c r="C10" s="95" t="s">
        <v>32</v>
      </c>
      <c r="D10" s="94"/>
      <c r="E10" s="93"/>
      <c r="F10" s="92"/>
      <c r="G10" s="92"/>
      <c r="H10" s="91">
        <f t="shared" ref="H10:AD10" si="4">H47</f>
        <v>-24298.65</v>
      </c>
      <c r="I10" s="91">
        <f t="shared" si="4"/>
        <v>-24298.65</v>
      </c>
      <c r="J10" s="91">
        <f t="shared" si="4"/>
        <v>-22586.55</v>
      </c>
      <c r="K10" s="91">
        <f t="shared" si="4"/>
        <v>-22586.55</v>
      </c>
      <c r="L10" s="91">
        <f t="shared" si="4"/>
        <v>-22586.55</v>
      </c>
      <c r="M10" s="91">
        <f t="shared" si="4"/>
        <v>-22586.55</v>
      </c>
      <c r="N10" s="91">
        <f t="shared" si="4"/>
        <v>-22586.55</v>
      </c>
      <c r="O10" s="91">
        <f t="shared" si="4"/>
        <v>-22586.55</v>
      </c>
      <c r="P10" s="91">
        <f t="shared" si="4"/>
        <v>-23481.682499999999</v>
      </c>
      <c r="Q10" s="91">
        <f t="shared" si="4"/>
        <v>-23481.682499999999</v>
      </c>
      <c r="R10" s="91">
        <f t="shared" si="4"/>
        <v>-23135.345000000001</v>
      </c>
      <c r="S10" s="91">
        <f t="shared" si="4"/>
        <v>-23135.345000000001</v>
      </c>
      <c r="T10" s="91">
        <f t="shared" si="4"/>
        <v>-23135.345000000001</v>
      </c>
      <c r="U10" s="91">
        <f>U47</f>
        <v>-23135.345000000001</v>
      </c>
      <c r="V10" s="91">
        <f t="shared" si="4"/>
        <v>-23135.345000000001</v>
      </c>
      <c r="W10" s="91">
        <f t="shared" si="4"/>
        <v>-23135.345000000001</v>
      </c>
      <c r="X10" s="91">
        <f t="shared" si="4"/>
        <v>-23135.345000000001</v>
      </c>
      <c r="Y10" s="91">
        <f t="shared" si="4"/>
        <v>-20364.645</v>
      </c>
      <c r="Z10" s="91">
        <f t="shared" si="4"/>
        <v>-20364.645</v>
      </c>
      <c r="AA10" s="91">
        <f t="shared" si="4"/>
        <v>-19671.97</v>
      </c>
      <c r="AB10" s="91">
        <f t="shared" si="4"/>
        <v>-20178.362499999999</v>
      </c>
      <c r="AC10" s="91">
        <f t="shared" si="4"/>
        <v>-19817.23</v>
      </c>
      <c r="AD10" s="91">
        <f t="shared" si="4"/>
        <v>-18035.105</v>
      </c>
      <c r="AE10" s="91">
        <f t="shared" ref="AE10:AL10" si="5">AE47</f>
        <v>-18035.105</v>
      </c>
      <c r="AF10" s="91">
        <f t="shared" si="5"/>
        <v>-18035.105</v>
      </c>
      <c r="AG10" s="91">
        <f t="shared" si="5"/>
        <v>-18035.105</v>
      </c>
      <c r="AH10" s="91">
        <f t="shared" si="5"/>
        <v>-18035.105</v>
      </c>
      <c r="AI10" s="91">
        <f t="shared" si="5"/>
        <v>-18035.105</v>
      </c>
      <c r="AJ10" s="91">
        <f t="shared" si="5"/>
        <v>-18035.105</v>
      </c>
      <c r="AK10" s="91">
        <f t="shared" si="5"/>
        <v>-18035.105</v>
      </c>
      <c r="AL10" s="91">
        <f t="shared" si="5"/>
        <v>-18035.105</v>
      </c>
      <c r="AM10" s="91">
        <f t="shared" ref="AM10:AS10" si="6">AM47</f>
        <v>-20285.105</v>
      </c>
      <c r="AN10" s="91">
        <f t="shared" si="6"/>
        <v>-20795.532500000001</v>
      </c>
      <c r="AO10" s="91">
        <f t="shared" si="6"/>
        <v>-20795.532500000001</v>
      </c>
      <c r="AP10" s="91">
        <f t="shared" si="6"/>
        <v>-20795.532500000001</v>
      </c>
      <c r="AQ10" s="91">
        <f t="shared" si="6"/>
        <v>-20795.532500000001</v>
      </c>
      <c r="AR10" s="91">
        <f t="shared" si="6"/>
        <v>-20795.532500000001</v>
      </c>
      <c r="AS10" s="91">
        <f t="shared" si="6"/>
        <v>-20795.532500000001</v>
      </c>
      <c r="AT10" s="91"/>
      <c r="AU10" s="91">
        <f>SUM(H10:AT10)</f>
        <v>-800798.47749999957</v>
      </c>
      <c r="AV10" s="11"/>
    </row>
    <row r="11" spans="1:50" x14ac:dyDescent="0.25">
      <c r="A11" s="94"/>
      <c r="B11" s="96"/>
      <c r="C11" s="138" t="s">
        <v>47</v>
      </c>
      <c r="D11" s="139"/>
      <c r="E11" s="140"/>
      <c r="F11" s="141"/>
      <c r="G11" s="141"/>
      <c r="H11" s="98">
        <f>H102</f>
        <v>-12063</v>
      </c>
      <c r="I11" s="98">
        <f t="shared" ref="I11:AD11" si="7">I102</f>
        <v>-12424.89</v>
      </c>
      <c r="J11" s="98">
        <f t="shared" si="7"/>
        <v>-12797.636699999999</v>
      </c>
      <c r="K11" s="98">
        <f t="shared" si="7"/>
        <v>-13181.565800999999</v>
      </c>
      <c r="L11" s="98">
        <f t="shared" si="7"/>
        <v>-13577.01277503</v>
      </c>
      <c r="M11" s="98">
        <f t="shared" si="7"/>
        <v>-13984.3231582809</v>
      </c>
      <c r="N11" s="98">
        <f t="shared" si="7"/>
        <v>-14403.852853029328</v>
      </c>
      <c r="O11" s="98">
        <f t="shared" si="7"/>
        <v>-14835.968438620208</v>
      </c>
      <c r="P11" s="98">
        <f t="shared" si="7"/>
        <v>-15281.047491778814</v>
      </c>
      <c r="Q11" s="98">
        <f t="shared" si="7"/>
        <v>-15739.47891653218</v>
      </c>
      <c r="R11" s="98">
        <f t="shared" si="7"/>
        <v>-16211.663284028145</v>
      </c>
      <c r="S11" s="98">
        <f t="shared" si="7"/>
        <v>-16698.013182548992</v>
      </c>
      <c r="T11" s="98">
        <f t="shared" si="7"/>
        <v>-17198.953578025463</v>
      </c>
      <c r="U11" s="98">
        <f t="shared" si="7"/>
        <v>-17714.922185366227</v>
      </c>
      <c r="V11" s="98">
        <f t="shared" si="7"/>
        <v>-18246.369850927214</v>
      </c>
      <c r="W11" s="98">
        <f t="shared" si="7"/>
        <v>-18793.76094645503</v>
      </c>
      <c r="X11" s="98">
        <f t="shared" si="7"/>
        <v>-19357.573774848683</v>
      </c>
      <c r="Y11" s="98">
        <f t="shared" si="7"/>
        <v>-19938.300988094143</v>
      </c>
      <c r="Z11" s="98">
        <f t="shared" si="7"/>
        <v>-20536.450017736966</v>
      </c>
      <c r="AA11" s="98">
        <f t="shared" si="7"/>
        <v>-21152.543518269074</v>
      </c>
      <c r="AB11" s="98">
        <f t="shared" si="7"/>
        <v>-21787.119823817146</v>
      </c>
      <c r="AC11" s="98">
        <f t="shared" si="7"/>
        <v>-22440.733418531661</v>
      </c>
      <c r="AD11" s="98">
        <f t="shared" si="7"/>
        <v>-23113.955421087612</v>
      </c>
      <c r="AE11" s="98">
        <f t="shared" ref="AE11:AL11" si="8">AE102</f>
        <v>-23807.374083720242</v>
      </c>
      <c r="AF11" s="98">
        <f t="shared" si="8"/>
        <v>-24521.595306231851</v>
      </c>
      <c r="AG11" s="98">
        <f t="shared" si="8"/>
        <v>-25257.243165418808</v>
      </c>
      <c r="AH11" s="98">
        <f t="shared" si="8"/>
        <v>-26014.960460381371</v>
      </c>
      <c r="AI11" s="98">
        <f t="shared" si="8"/>
        <v>-26795.409274192814</v>
      </c>
      <c r="AJ11" s="98">
        <f t="shared" si="8"/>
        <v>-27599.271552418599</v>
      </c>
      <c r="AK11" s="98">
        <f t="shared" si="8"/>
        <v>-28427.249698991156</v>
      </c>
      <c r="AL11" s="98">
        <f t="shared" si="8"/>
        <v>-29280.06718996089</v>
      </c>
      <c r="AM11" s="98">
        <f t="shared" ref="AM11:AS11" si="9">AM102</f>
        <v>-31075.135872326384</v>
      </c>
      <c r="AN11" s="98">
        <f t="shared" si="9"/>
        <v>-31979.889948496177</v>
      </c>
      <c r="AO11" s="98">
        <f t="shared" si="9"/>
        <v>-32911.786646951063</v>
      </c>
      <c r="AP11" s="98">
        <f t="shared" si="9"/>
        <v>-33871.640246359595</v>
      </c>
      <c r="AQ11" s="98">
        <f t="shared" si="9"/>
        <v>-34860.289453750382</v>
      </c>
      <c r="AR11" s="98">
        <f t="shared" si="9"/>
        <v>-35878.598137362897</v>
      </c>
      <c r="AS11" s="98">
        <f t="shared" si="9"/>
        <v>-36927.456081483782</v>
      </c>
      <c r="AT11" s="98"/>
      <c r="AU11" s="98">
        <f>SUM(H11:AT11)</f>
        <v>-840687.10324205388</v>
      </c>
      <c r="AV11" s="11"/>
    </row>
    <row r="12" spans="1:50" s="56" customFormat="1" x14ac:dyDescent="0.25">
      <c r="A12" s="132"/>
      <c r="B12" s="133"/>
      <c r="C12" s="134" t="s">
        <v>46</v>
      </c>
      <c r="D12" s="132"/>
      <c r="E12" s="135"/>
      <c r="F12" s="136"/>
      <c r="G12" s="136"/>
      <c r="H12" s="137">
        <f t="shared" ref="H12:AD12" si="10">SUM(H9:H11)</f>
        <v>12451.628059471106</v>
      </c>
      <c r="I12" s="137">
        <f t="shared" si="10"/>
        <v>24541.366118942213</v>
      </c>
      <c r="J12" s="137">
        <f t="shared" si="10"/>
        <v>42255.527478413307</v>
      </c>
      <c r="K12" s="137">
        <f t="shared" si="10"/>
        <v>59585.759736884407</v>
      </c>
      <c r="L12" s="137">
        <f t="shared" si="10"/>
        <v>76520.545021325495</v>
      </c>
      <c r="M12" s="137">
        <f t="shared" si="10"/>
        <v>93048.019922515698</v>
      </c>
      <c r="N12" s="137">
        <f t="shared" si="10"/>
        <v>109155.96512895745</v>
      </c>
      <c r="O12" s="137">
        <f t="shared" si="10"/>
        <v>124080.44855933217</v>
      </c>
      <c r="P12" s="137">
        <f t="shared" si="10"/>
        <v>133354.93543654829</v>
      </c>
      <c r="Q12" s="137">
        <f t="shared" si="10"/>
        <v>141059.85150012214</v>
      </c>
      <c r="R12" s="137">
        <f t="shared" si="10"/>
        <v>148638.92069620002</v>
      </c>
      <c r="S12" s="137">
        <f t="shared" si="10"/>
        <v>155731.63999375707</v>
      </c>
      <c r="T12" s="137">
        <f t="shared" si="10"/>
        <v>162323.41889583765</v>
      </c>
      <c r="U12" s="137">
        <f t="shared" si="10"/>
        <v>168399.22919057746</v>
      </c>
      <c r="V12" s="137">
        <f t="shared" si="10"/>
        <v>173943.59181975629</v>
      </c>
      <c r="W12" s="137">
        <f t="shared" si="10"/>
        <v>178940.56335340728</v>
      </c>
      <c r="X12" s="137">
        <f t="shared" si="10"/>
        <v>183373.72205866463</v>
      </c>
      <c r="Y12" s="137">
        <f t="shared" si="10"/>
        <v>185398.46708008827</v>
      </c>
      <c r="Z12" s="137">
        <f t="shared" si="10"/>
        <v>186825.06307186911</v>
      </c>
      <c r="AA12" s="137">
        <f t="shared" si="10"/>
        <v>184720.57389645115</v>
      </c>
      <c r="AB12" s="137">
        <f t="shared" si="10"/>
        <v>179098.45609798515</v>
      </c>
      <c r="AC12" s="137">
        <f t="shared" si="10"/>
        <v>173183.8572048046</v>
      </c>
      <c r="AD12" s="137">
        <f t="shared" si="10"/>
        <v>168378.16130906809</v>
      </c>
      <c r="AE12" s="137">
        <f t="shared" ref="AE12:AL12" si="11">SUM(AE9:AE11)</f>
        <v>162879.04675069897</v>
      </c>
      <c r="AF12" s="137">
        <f t="shared" si="11"/>
        <v>156665.71096981823</v>
      </c>
      <c r="AG12" s="137">
        <f t="shared" si="11"/>
        <v>149716.72732975055</v>
      </c>
      <c r="AH12" s="137">
        <f t="shared" si="11"/>
        <v>142010.02639472028</v>
      </c>
      <c r="AI12" s="137">
        <f t="shared" si="11"/>
        <v>133522.87664587857</v>
      </c>
      <c r="AJ12" s="137">
        <f t="shared" si="11"/>
        <v>124231.86461881109</v>
      </c>
      <c r="AK12" s="137">
        <f t="shared" si="11"/>
        <v>114112.87444517104</v>
      </c>
      <c r="AL12" s="137">
        <f t="shared" si="11"/>
        <v>103141.06678056126</v>
      </c>
      <c r="AM12" s="137">
        <f t="shared" ref="AM12:AS12" si="12">SUM(AM9:AM11)</f>
        <v>88124.190433586002</v>
      </c>
      <c r="AN12" s="137">
        <f t="shared" si="12"/>
        <v>71692.132510440948</v>
      </c>
      <c r="AO12" s="137">
        <f t="shared" si="12"/>
        <v>49624.261222174347</v>
      </c>
      <c r="AP12" s="137">
        <f t="shared" si="12"/>
        <v>26596.5363344992</v>
      </c>
      <c r="AQ12" s="137">
        <f t="shared" si="12"/>
        <v>2580.1622394332735</v>
      </c>
      <c r="AR12" s="137">
        <f t="shared" si="12"/>
        <v>-22454.520539245168</v>
      </c>
      <c r="AS12" s="137">
        <f t="shared" si="12"/>
        <v>-59061.227478260713</v>
      </c>
      <c r="AT12" s="137"/>
      <c r="AU12" s="137">
        <f>SUM(H12:AT12)</f>
        <v>4308391.4402890159</v>
      </c>
      <c r="AV12" s="62"/>
      <c r="AW12" s="103"/>
    </row>
    <row r="13" spans="1:50" x14ac:dyDescent="0.25">
      <c r="E13" s="89"/>
      <c r="F13" s="23"/>
      <c r="G13" s="23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11"/>
    </row>
    <row r="14" spans="1:50" x14ac:dyDescent="0.25">
      <c r="A14" s="90" t="s">
        <v>31</v>
      </c>
      <c r="E14" s="89"/>
      <c r="F14" s="23"/>
      <c r="G14" s="23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86"/>
      <c r="AU14" s="86"/>
      <c r="AV14" s="11"/>
    </row>
    <row r="15" spans="1:50" x14ac:dyDescent="0.25">
      <c r="A15" s="90"/>
      <c r="E15" s="89"/>
      <c r="F15" s="23"/>
      <c r="G15" s="23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86"/>
      <c r="AU15" s="86"/>
      <c r="AV15" s="11"/>
    </row>
    <row r="16" spans="1:50" x14ac:dyDescent="0.25">
      <c r="B16" s="88" t="s">
        <v>30</v>
      </c>
      <c r="C16" s="47" t="s">
        <v>29</v>
      </c>
      <c r="D16" s="87" t="s">
        <v>66</v>
      </c>
      <c r="E16" s="87" t="s">
        <v>65</v>
      </c>
      <c r="F16" s="78" t="s">
        <v>64</v>
      </c>
      <c r="G16" s="78" t="s">
        <v>68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9"/>
      <c r="AV16" s="7"/>
      <c r="AW16" s="86"/>
      <c r="AX16" s="11"/>
    </row>
    <row r="17" spans="1:50" x14ac:dyDescent="0.25">
      <c r="C17" s="25"/>
      <c r="D17" s="24"/>
      <c r="E17" s="11"/>
      <c r="F17" s="76"/>
      <c r="G17" s="76"/>
      <c r="H17" s="75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37"/>
      <c r="AV17" s="7"/>
      <c r="AW17" s="149"/>
      <c r="AX17" s="11"/>
    </row>
    <row r="18" spans="1:50" x14ac:dyDescent="0.25">
      <c r="B18" s="152" t="s">
        <v>78</v>
      </c>
      <c r="C18" s="40" t="s">
        <v>79</v>
      </c>
      <c r="D18" s="179">
        <v>56447</v>
      </c>
      <c r="E18" s="151">
        <v>44043</v>
      </c>
      <c r="F18" s="151">
        <v>44773</v>
      </c>
      <c r="G18" s="206">
        <v>4111.4954999999991</v>
      </c>
      <c r="H18" s="184">
        <f>($D$18-$G$18)/((((YEAR($E$18)-YEAR($E$2))*12)+(MONTH($E$18)-MONTH($E$2))))</f>
        <v>5815.0560555555558</v>
      </c>
      <c r="I18" s="185">
        <f>($D$18-$G$18)/((((YEAR($E$18)-YEAR($E$2))*12)+(MONTH($E$18)-MONTH($E$2))))</f>
        <v>5815.0560555555558</v>
      </c>
      <c r="J18" s="185">
        <f t="shared" ref="J18:P18" si="13">($D$18-$G$18)/((((YEAR($E$18)-YEAR($E$2))*12)+(MONTH($E$18)-MONTH($E$2))))</f>
        <v>5815.0560555555558</v>
      </c>
      <c r="K18" s="185">
        <f t="shared" si="13"/>
        <v>5815.0560555555558</v>
      </c>
      <c r="L18" s="185">
        <f t="shared" si="13"/>
        <v>5815.0560555555558</v>
      </c>
      <c r="M18" s="185">
        <f t="shared" si="13"/>
        <v>5815.0560555555558</v>
      </c>
      <c r="N18" s="185">
        <f t="shared" si="13"/>
        <v>5815.0560555555558</v>
      </c>
      <c r="O18" s="185">
        <f t="shared" si="13"/>
        <v>5815.0560555555558</v>
      </c>
      <c r="P18" s="185">
        <f t="shared" si="13"/>
        <v>5815.0560555555558</v>
      </c>
      <c r="Q18" s="183">
        <f>$D$18/12</f>
        <v>4703.916666666667</v>
      </c>
      <c r="R18" s="183">
        <f t="shared" ref="R18:AN18" si="14">$D$18/12</f>
        <v>4703.916666666667</v>
      </c>
      <c r="S18" s="183">
        <f t="shared" si="14"/>
        <v>4703.916666666667</v>
      </c>
      <c r="T18" s="183">
        <f t="shared" si="14"/>
        <v>4703.916666666667</v>
      </c>
      <c r="U18" s="183">
        <f t="shared" si="14"/>
        <v>4703.916666666667</v>
      </c>
      <c r="V18" s="183">
        <f t="shared" si="14"/>
        <v>4703.916666666667</v>
      </c>
      <c r="W18" s="183">
        <f t="shared" si="14"/>
        <v>4703.916666666667</v>
      </c>
      <c r="X18" s="183">
        <f t="shared" si="14"/>
        <v>4703.916666666667</v>
      </c>
      <c r="Y18" s="183">
        <f t="shared" si="14"/>
        <v>4703.916666666667</v>
      </c>
      <c r="Z18" s="183">
        <f t="shared" si="14"/>
        <v>4703.916666666667</v>
      </c>
      <c r="AA18" s="183">
        <f t="shared" si="14"/>
        <v>4703.916666666667</v>
      </c>
      <c r="AB18" s="183">
        <f t="shared" si="14"/>
        <v>4703.916666666667</v>
      </c>
      <c r="AC18" s="182">
        <f t="shared" si="14"/>
        <v>4703.916666666667</v>
      </c>
      <c r="AD18" s="182">
        <f t="shared" si="14"/>
        <v>4703.916666666667</v>
      </c>
      <c r="AE18" s="182">
        <f t="shared" si="14"/>
        <v>4703.916666666667</v>
      </c>
      <c r="AF18" s="182">
        <f t="shared" si="14"/>
        <v>4703.916666666667</v>
      </c>
      <c r="AG18" s="182">
        <f t="shared" si="14"/>
        <v>4703.916666666667</v>
      </c>
      <c r="AH18" s="182">
        <f t="shared" si="14"/>
        <v>4703.916666666667</v>
      </c>
      <c r="AI18" s="182">
        <f t="shared" si="14"/>
        <v>4703.916666666667</v>
      </c>
      <c r="AJ18" s="182">
        <f t="shared" si="14"/>
        <v>4703.916666666667</v>
      </c>
      <c r="AK18" s="182">
        <f t="shared" si="14"/>
        <v>4703.916666666667</v>
      </c>
      <c r="AL18" s="182">
        <f t="shared" si="14"/>
        <v>4703.916666666667</v>
      </c>
      <c r="AM18" s="182">
        <f t="shared" si="14"/>
        <v>4703.916666666667</v>
      </c>
      <c r="AN18" s="182">
        <f t="shared" si="14"/>
        <v>4703.916666666667</v>
      </c>
      <c r="AO18" s="186"/>
      <c r="AP18" s="186"/>
      <c r="AQ18" s="186"/>
      <c r="AR18" s="186"/>
      <c r="AS18" s="186"/>
      <c r="AT18" s="86"/>
      <c r="AU18" s="31">
        <f t="shared" ref="AU18:AU28" si="15">SUM(H18:AT18)</f>
        <v>165229.50449999998</v>
      </c>
      <c r="AV18" s="7"/>
      <c r="AW18" s="200"/>
      <c r="AX18" s="11"/>
    </row>
    <row r="19" spans="1:50" x14ac:dyDescent="0.25">
      <c r="B19" s="152" t="s">
        <v>78</v>
      </c>
      <c r="C19" s="40" t="s">
        <v>79</v>
      </c>
      <c r="D19" s="179">
        <v>43292</v>
      </c>
      <c r="E19" s="151">
        <v>43982</v>
      </c>
      <c r="F19" s="151">
        <v>44347</v>
      </c>
      <c r="G19" s="206">
        <v>12778.91</v>
      </c>
      <c r="H19" s="184">
        <f>($D$19-$G$19)/((((YEAR($E$19)-YEAR($E$2))*12)+(MONTH($E$19)-MONTH($E$2))))</f>
        <v>4359.0128571428568</v>
      </c>
      <c r="I19" s="185">
        <f t="shared" ref="I19:N19" si="16">($D$19-$G$19)/((((YEAR($E$19)-YEAR($E$2))*12)+(MONTH($E$19)-MONTH($E$2))))</f>
        <v>4359.0128571428568</v>
      </c>
      <c r="J19" s="185">
        <f t="shared" si="16"/>
        <v>4359.0128571428568</v>
      </c>
      <c r="K19" s="185">
        <f t="shared" si="16"/>
        <v>4359.0128571428568</v>
      </c>
      <c r="L19" s="185">
        <f t="shared" si="16"/>
        <v>4359.0128571428568</v>
      </c>
      <c r="M19" s="185">
        <f t="shared" si="16"/>
        <v>4359.0128571428568</v>
      </c>
      <c r="N19" s="185">
        <f t="shared" si="16"/>
        <v>4359.0128571428568</v>
      </c>
      <c r="O19" s="183">
        <f>$D$19/12</f>
        <v>3607.6666666666665</v>
      </c>
      <c r="P19" s="183">
        <f t="shared" ref="P19:Z19" si="17">$D$19/12</f>
        <v>3607.6666666666665</v>
      </c>
      <c r="Q19" s="183">
        <f t="shared" si="17"/>
        <v>3607.6666666666665</v>
      </c>
      <c r="R19" s="183">
        <f t="shared" si="17"/>
        <v>3607.6666666666665</v>
      </c>
      <c r="S19" s="183">
        <f t="shared" si="17"/>
        <v>3607.6666666666665</v>
      </c>
      <c r="T19" s="183">
        <f t="shared" si="17"/>
        <v>3607.6666666666665</v>
      </c>
      <c r="U19" s="183">
        <f t="shared" si="17"/>
        <v>3607.6666666666665</v>
      </c>
      <c r="V19" s="183">
        <f t="shared" si="17"/>
        <v>3607.6666666666665</v>
      </c>
      <c r="W19" s="183">
        <f t="shared" si="17"/>
        <v>3607.6666666666665</v>
      </c>
      <c r="X19" s="183">
        <f t="shared" si="17"/>
        <v>3607.6666666666665</v>
      </c>
      <c r="Y19" s="183">
        <f t="shared" si="17"/>
        <v>3607.6666666666665</v>
      </c>
      <c r="Z19" s="183">
        <f t="shared" si="17"/>
        <v>3607.6666666666665</v>
      </c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9"/>
      <c r="AN19" s="189"/>
      <c r="AO19" s="189"/>
      <c r="AP19" s="189"/>
      <c r="AQ19" s="189"/>
      <c r="AR19" s="189"/>
      <c r="AS19" s="189"/>
      <c r="AT19" s="86"/>
      <c r="AU19" s="31">
        <f t="shared" si="15"/>
        <v>73805.09</v>
      </c>
      <c r="AV19" s="7"/>
      <c r="AW19" s="200"/>
      <c r="AX19" s="11"/>
    </row>
    <row r="20" spans="1:50" x14ac:dyDescent="0.25">
      <c r="B20" s="152" t="s">
        <v>78</v>
      </c>
      <c r="C20" s="40" t="s">
        <v>79</v>
      </c>
      <c r="D20" s="179">
        <v>331745</v>
      </c>
      <c r="E20" s="151">
        <v>45535</v>
      </c>
      <c r="F20" s="151">
        <v>45535</v>
      </c>
      <c r="G20" s="206">
        <v>1370.54</v>
      </c>
      <c r="H20" s="184">
        <f>($D$20-$G$20)/((((YEAR($E$20)-YEAR($E$2))*12)+(MONTH($E$20)-MONTH($E$2))))</f>
        <v>5696.111379310345</v>
      </c>
      <c r="I20" s="185">
        <f t="shared" ref="I20:AS20" si="18">($D$20-$G$20)/((((YEAR($E$20)-YEAR($E$2))*12)+(MONTH($E$20)-MONTH($E$2))))</f>
        <v>5696.111379310345</v>
      </c>
      <c r="J20" s="185">
        <f t="shared" si="18"/>
        <v>5696.111379310345</v>
      </c>
      <c r="K20" s="185">
        <f t="shared" si="18"/>
        <v>5696.111379310345</v>
      </c>
      <c r="L20" s="185">
        <f t="shared" si="18"/>
        <v>5696.111379310345</v>
      </c>
      <c r="M20" s="185">
        <f t="shared" si="18"/>
        <v>5696.111379310345</v>
      </c>
      <c r="N20" s="185">
        <f t="shared" si="18"/>
        <v>5696.111379310345</v>
      </c>
      <c r="O20" s="185">
        <f t="shared" si="18"/>
        <v>5696.111379310345</v>
      </c>
      <c r="P20" s="185">
        <f t="shared" si="18"/>
        <v>5696.111379310345</v>
      </c>
      <c r="Q20" s="185">
        <f t="shared" si="18"/>
        <v>5696.111379310345</v>
      </c>
      <c r="R20" s="185">
        <f t="shared" si="18"/>
        <v>5696.111379310345</v>
      </c>
      <c r="S20" s="185">
        <f t="shared" si="18"/>
        <v>5696.111379310345</v>
      </c>
      <c r="T20" s="185">
        <f t="shared" si="18"/>
        <v>5696.111379310345</v>
      </c>
      <c r="U20" s="185">
        <f t="shared" si="18"/>
        <v>5696.111379310345</v>
      </c>
      <c r="V20" s="185">
        <f t="shared" si="18"/>
        <v>5696.111379310345</v>
      </c>
      <c r="W20" s="185">
        <f t="shared" si="18"/>
        <v>5696.111379310345</v>
      </c>
      <c r="X20" s="185">
        <f t="shared" si="18"/>
        <v>5696.111379310345</v>
      </c>
      <c r="Y20" s="185">
        <f t="shared" si="18"/>
        <v>5696.111379310345</v>
      </c>
      <c r="Z20" s="185">
        <f t="shared" si="18"/>
        <v>5696.111379310345</v>
      </c>
      <c r="AA20" s="185">
        <f t="shared" si="18"/>
        <v>5696.111379310345</v>
      </c>
      <c r="AB20" s="185">
        <f t="shared" si="18"/>
        <v>5696.111379310345</v>
      </c>
      <c r="AC20" s="185">
        <f t="shared" si="18"/>
        <v>5696.111379310345</v>
      </c>
      <c r="AD20" s="185">
        <f t="shared" si="18"/>
        <v>5696.111379310345</v>
      </c>
      <c r="AE20" s="185">
        <f t="shared" si="18"/>
        <v>5696.111379310345</v>
      </c>
      <c r="AF20" s="185">
        <f t="shared" si="18"/>
        <v>5696.111379310345</v>
      </c>
      <c r="AG20" s="185">
        <f t="shared" si="18"/>
        <v>5696.111379310345</v>
      </c>
      <c r="AH20" s="185">
        <f t="shared" si="18"/>
        <v>5696.111379310345</v>
      </c>
      <c r="AI20" s="185">
        <f t="shared" si="18"/>
        <v>5696.111379310345</v>
      </c>
      <c r="AJ20" s="185">
        <f t="shared" si="18"/>
        <v>5696.111379310345</v>
      </c>
      <c r="AK20" s="185">
        <f t="shared" si="18"/>
        <v>5696.111379310345</v>
      </c>
      <c r="AL20" s="185">
        <f t="shared" si="18"/>
        <v>5696.111379310345</v>
      </c>
      <c r="AM20" s="185">
        <f t="shared" si="18"/>
        <v>5696.111379310345</v>
      </c>
      <c r="AN20" s="185">
        <f t="shared" si="18"/>
        <v>5696.111379310345</v>
      </c>
      <c r="AO20" s="185">
        <f t="shared" si="18"/>
        <v>5696.111379310345</v>
      </c>
      <c r="AP20" s="185">
        <f t="shared" si="18"/>
        <v>5696.111379310345</v>
      </c>
      <c r="AQ20" s="185">
        <f t="shared" si="18"/>
        <v>5696.111379310345</v>
      </c>
      <c r="AR20" s="185">
        <f t="shared" si="18"/>
        <v>5696.111379310345</v>
      </c>
      <c r="AS20" s="185">
        <f t="shared" si="18"/>
        <v>5696.111379310345</v>
      </c>
      <c r="AT20" s="86"/>
      <c r="AU20" s="31">
        <f t="shared" si="15"/>
        <v>216452.23241379307</v>
      </c>
      <c r="AV20" s="7"/>
      <c r="AW20" s="200"/>
      <c r="AX20" s="11"/>
    </row>
    <row r="21" spans="1:50" x14ac:dyDescent="0.25">
      <c r="B21" s="152" t="s">
        <v>78</v>
      </c>
      <c r="C21" s="40" t="s">
        <v>79</v>
      </c>
      <c r="D21" s="179">
        <f>356558+139662</f>
        <v>496220</v>
      </c>
      <c r="E21" s="151">
        <v>44895</v>
      </c>
      <c r="F21" s="151">
        <v>44895</v>
      </c>
      <c r="G21" s="206">
        <f>16820.85+50131+39911</f>
        <v>106862.85</v>
      </c>
      <c r="H21" s="184">
        <f>($D$21-$G$21)/((((YEAR($E$21)-YEAR($E$2))*12)+(MONTH($E$21)-MONTH($E$2))))</f>
        <v>10523.166216216217</v>
      </c>
      <c r="I21" s="185">
        <f t="shared" ref="I21:AR21" si="19">($D$21-$G$21)/((((YEAR($E$21)-YEAR($E$2))*12)+(MONTH($E$21)-MONTH($E$2))))</f>
        <v>10523.166216216217</v>
      </c>
      <c r="J21" s="185">
        <f t="shared" si="19"/>
        <v>10523.166216216217</v>
      </c>
      <c r="K21" s="185">
        <f t="shared" si="19"/>
        <v>10523.166216216217</v>
      </c>
      <c r="L21" s="185">
        <f t="shared" si="19"/>
        <v>10523.166216216217</v>
      </c>
      <c r="M21" s="185">
        <f t="shared" si="19"/>
        <v>10523.166216216217</v>
      </c>
      <c r="N21" s="185">
        <f t="shared" si="19"/>
        <v>10523.166216216217</v>
      </c>
      <c r="O21" s="185">
        <f t="shared" si="19"/>
        <v>10523.166216216217</v>
      </c>
      <c r="P21" s="185">
        <f t="shared" si="19"/>
        <v>10523.166216216217</v>
      </c>
      <c r="Q21" s="185">
        <f t="shared" si="19"/>
        <v>10523.166216216217</v>
      </c>
      <c r="R21" s="185">
        <f t="shared" si="19"/>
        <v>10523.166216216217</v>
      </c>
      <c r="S21" s="185">
        <f t="shared" si="19"/>
        <v>10523.166216216217</v>
      </c>
      <c r="T21" s="185">
        <f t="shared" si="19"/>
        <v>10523.166216216217</v>
      </c>
      <c r="U21" s="185">
        <f t="shared" si="19"/>
        <v>10523.166216216217</v>
      </c>
      <c r="V21" s="185">
        <f t="shared" si="19"/>
        <v>10523.166216216217</v>
      </c>
      <c r="W21" s="185">
        <f t="shared" si="19"/>
        <v>10523.166216216217</v>
      </c>
      <c r="X21" s="185">
        <f t="shared" si="19"/>
        <v>10523.166216216217</v>
      </c>
      <c r="Y21" s="185">
        <f t="shared" si="19"/>
        <v>10523.166216216217</v>
      </c>
      <c r="Z21" s="185">
        <f t="shared" si="19"/>
        <v>10523.166216216217</v>
      </c>
      <c r="AA21" s="185">
        <f t="shared" si="19"/>
        <v>10523.166216216217</v>
      </c>
      <c r="AB21" s="185">
        <f t="shared" si="19"/>
        <v>10523.166216216217</v>
      </c>
      <c r="AC21" s="185">
        <f t="shared" si="19"/>
        <v>10523.166216216217</v>
      </c>
      <c r="AD21" s="185">
        <f t="shared" si="19"/>
        <v>10523.166216216217</v>
      </c>
      <c r="AE21" s="185">
        <f t="shared" si="19"/>
        <v>10523.166216216217</v>
      </c>
      <c r="AF21" s="185">
        <f t="shared" si="19"/>
        <v>10523.166216216217</v>
      </c>
      <c r="AG21" s="185">
        <f t="shared" si="19"/>
        <v>10523.166216216217</v>
      </c>
      <c r="AH21" s="185">
        <f t="shared" si="19"/>
        <v>10523.166216216217</v>
      </c>
      <c r="AI21" s="185">
        <f t="shared" si="19"/>
        <v>10523.166216216217</v>
      </c>
      <c r="AJ21" s="185">
        <f t="shared" si="19"/>
        <v>10523.166216216217</v>
      </c>
      <c r="AK21" s="185">
        <f t="shared" si="19"/>
        <v>10523.166216216217</v>
      </c>
      <c r="AL21" s="185">
        <f t="shared" si="19"/>
        <v>10523.166216216217</v>
      </c>
      <c r="AM21" s="185">
        <f t="shared" si="19"/>
        <v>10523.166216216217</v>
      </c>
      <c r="AN21" s="185">
        <f t="shared" si="19"/>
        <v>10523.166216216217</v>
      </c>
      <c r="AO21" s="185">
        <f t="shared" si="19"/>
        <v>10523.166216216217</v>
      </c>
      <c r="AP21" s="185">
        <f t="shared" si="19"/>
        <v>10523.166216216217</v>
      </c>
      <c r="AQ21" s="185">
        <f t="shared" si="19"/>
        <v>10523.166216216217</v>
      </c>
      <c r="AR21" s="185">
        <f t="shared" si="19"/>
        <v>10523.166216216217</v>
      </c>
      <c r="AS21" s="194"/>
      <c r="AT21" s="86"/>
      <c r="AU21" s="31">
        <f t="shared" si="15"/>
        <v>389357.15000000026</v>
      </c>
      <c r="AV21" s="7"/>
      <c r="AW21" s="153"/>
      <c r="AX21" s="11"/>
    </row>
    <row r="22" spans="1:50" x14ac:dyDescent="0.25">
      <c r="B22" s="152" t="s">
        <v>78</v>
      </c>
      <c r="C22" s="40" t="s">
        <v>79</v>
      </c>
      <c r="D22" s="179">
        <v>125905</v>
      </c>
      <c r="E22" s="151">
        <v>43830</v>
      </c>
      <c r="F22" s="151">
        <v>43830</v>
      </c>
      <c r="G22" s="206">
        <f>70084.64+39138</f>
        <v>109222.64</v>
      </c>
      <c r="H22" s="184">
        <f>($D$22-$G$22)/((((YEAR($E$22)-YEAR($E$2))*12)+(MONTH($E$22)-MONTH($E$2))))</f>
        <v>8341.18</v>
      </c>
      <c r="I22" s="185">
        <f>($D$22-$G$22)/((((YEAR($E$22)-YEAR($E$2))*12)+(MONTH($E$22)-MONTH($E$2))))</f>
        <v>8341.18</v>
      </c>
      <c r="J22" s="149"/>
      <c r="K22" s="149"/>
      <c r="L22" s="149"/>
      <c r="M22" s="149"/>
      <c r="N22" s="149"/>
      <c r="O22" s="149"/>
      <c r="P22" s="149"/>
      <c r="Q22" s="149"/>
      <c r="R22" s="149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86"/>
      <c r="AU22" s="31">
        <f t="shared" si="15"/>
        <v>16682.36</v>
      </c>
      <c r="AV22" s="7"/>
      <c r="AW22" s="153"/>
      <c r="AX22" s="11"/>
    </row>
    <row r="23" spans="1:50" x14ac:dyDescent="0.25">
      <c r="B23" s="152" t="s">
        <v>78</v>
      </c>
      <c r="C23" s="40" t="s">
        <v>79</v>
      </c>
      <c r="D23" s="179">
        <v>50000</v>
      </c>
      <c r="E23" s="151">
        <v>44012</v>
      </c>
      <c r="F23" s="151">
        <v>44012</v>
      </c>
      <c r="G23" s="206">
        <f>2145.72+13376</f>
        <v>15521.72</v>
      </c>
      <c r="H23" s="184">
        <f>($D$23-$G$23)/((((YEAR($E$23)-YEAR($E$2))*12)+(MONTH($E$23)-MONTH($E$2))))</f>
        <v>4309.7849999999999</v>
      </c>
      <c r="I23" s="185">
        <f t="shared" ref="I23:O23" si="20">($D$23-$G$23)/((((YEAR($E$23)-YEAR($E$2))*12)+(MONTH($E$23)-MONTH($E$2))))</f>
        <v>4309.7849999999999</v>
      </c>
      <c r="J23" s="185">
        <f t="shared" si="20"/>
        <v>4309.7849999999999</v>
      </c>
      <c r="K23" s="185">
        <f t="shared" si="20"/>
        <v>4309.7849999999999</v>
      </c>
      <c r="L23" s="185">
        <f t="shared" si="20"/>
        <v>4309.7849999999999</v>
      </c>
      <c r="M23" s="185">
        <f t="shared" si="20"/>
        <v>4309.7849999999999</v>
      </c>
      <c r="N23" s="185">
        <f t="shared" si="20"/>
        <v>4309.7849999999999</v>
      </c>
      <c r="O23" s="185">
        <f t="shared" si="20"/>
        <v>4309.7849999999999</v>
      </c>
      <c r="P23" s="149"/>
      <c r="Q23" s="149"/>
      <c r="R23" s="149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86"/>
      <c r="AU23" s="31">
        <f t="shared" si="15"/>
        <v>34478.28</v>
      </c>
      <c r="AV23" s="7"/>
      <c r="AW23" s="153"/>
      <c r="AX23" s="11"/>
    </row>
    <row r="24" spans="1:50" x14ac:dyDescent="0.25">
      <c r="B24" s="152" t="s">
        <v>78</v>
      </c>
      <c r="C24" s="40" t="s">
        <v>79</v>
      </c>
      <c r="D24" s="179">
        <v>107396</v>
      </c>
      <c r="E24" s="151">
        <v>44286</v>
      </c>
      <c r="F24" s="151">
        <v>44286</v>
      </c>
      <c r="G24" s="206">
        <f>27525.43+1698</f>
        <v>29223.43</v>
      </c>
      <c r="H24" s="184">
        <f>($D$24-$G$24)/((((YEAR($E$24)-YEAR($E$2))*12)+(MONTH($E$24)-MONTH($E$2))))</f>
        <v>4598.3864705882361</v>
      </c>
      <c r="I24" s="185">
        <f t="shared" ref="I24:X24" si="21">($D$24-$G$24)/((((YEAR($E$24)-YEAR($E$2))*12)+(MONTH($E$24)-MONTH($E$2))))</f>
        <v>4598.3864705882361</v>
      </c>
      <c r="J24" s="185">
        <f t="shared" si="21"/>
        <v>4598.3864705882361</v>
      </c>
      <c r="K24" s="185">
        <f t="shared" si="21"/>
        <v>4598.3864705882361</v>
      </c>
      <c r="L24" s="185">
        <f t="shared" si="21"/>
        <v>4598.3864705882361</v>
      </c>
      <c r="M24" s="185">
        <f t="shared" si="21"/>
        <v>4598.3864705882361</v>
      </c>
      <c r="N24" s="185">
        <f t="shared" si="21"/>
        <v>4598.3864705882361</v>
      </c>
      <c r="O24" s="185">
        <f t="shared" si="21"/>
        <v>4598.3864705882361</v>
      </c>
      <c r="P24" s="185">
        <f t="shared" si="21"/>
        <v>4598.3864705882361</v>
      </c>
      <c r="Q24" s="185">
        <f t="shared" si="21"/>
        <v>4598.3864705882361</v>
      </c>
      <c r="R24" s="185">
        <f t="shared" si="21"/>
        <v>4598.3864705882361</v>
      </c>
      <c r="S24" s="185">
        <f t="shared" si="21"/>
        <v>4598.3864705882361</v>
      </c>
      <c r="T24" s="185">
        <f t="shared" si="21"/>
        <v>4598.3864705882361</v>
      </c>
      <c r="U24" s="185">
        <f t="shared" si="21"/>
        <v>4598.3864705882361</v>
      </c>
      <c r="V24" s="185">
        <f t="shared" si="21"/>
        <v>4598.3864705882361</v>
      </c>
      <c r="W24" s="185">
        <f t="shared" si="21"/>
        <v>4598.3864705882361</v>
      </c>
      <c r="X24" s="185">
        <f t="shared" si="21"/>
        <v>4598.3864705882361</v>
      </c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86"/>
      <c r="AU24" s="31">
        <f t="shared" si="15"/>
        <v>78172.570000000007</v>
      </c>
      <c r="AV24" s="7"/>
      <c r="AW24" s="153"/>
      <c r="AX24" s="11"/>
    </row>
    <row r="25" spans="1:50" x14ac:dyDescent="0.25">
      <c r="B25" s="152" t="s">
        <v>78</v>
      </c>
      <c r="C25" s="40" t="s">
        <v>79</v>
      </c>
      <c r="D25" s="179">
        <v>80000</v>
      </c>
      <c r="E25" s="151">
        <v>44926</v>
      </c>
      <c r="F25" s="151" t="s">
        <v>67</v>
      </c>
      <c r="G25" s="206">
        <v>16707.23</v>
      </c>
      <c r="H25" s="184">
        <f>($D$25-$G$25)/((((YEAR($E$25)-YEAR($E$2))*12)+(MONTH($E$25)-MONTH($E$2))))</f>
        <v>1665.5992105263158</v>
      </c>
      <c r="I25" s="185">
        <f t="shared" ref="I25:AS25" si="22">($D$25-$G$25)/((((YEAR($E$25)-YEAR($E$2))*12)+(MONTH($E$25)-MONTH($E$2))))</f>
        <v>1665.5992105263158</v>
      </c>
      <c r="J25" s="185">
        <f t="shared" si="22"/>
        <v>1665.5992105263158</v>
      </c>
      <c r="K25" s="185">
        <f t="shared" si="22"/>
        <v>1665.5992105263158</v>
      </c>
      <c r="L25" s="185">
        <f t="shared" si="22"/>
        <v>1665.5992105263158</v>
      </c>
      <c r="M25" s="185">
        <f t="shared" si="22"/>
        <v>1665.5992105263158</v>
      </c>
      <c r="N25" s="185">
        <f t="shared" si="22"/>
        <v>1665.5992105263158</v>
      </c>
      <c r="O25" s="185">
        <f t="shared" si="22"/>
        <v>1665.5992105263158</v>
      </c>
      <c r="P25" s="185">
        <f t="shared" si="22"/>
        <v>1665.5992105263158</v>
      </c>
      <c r="Q25" s="185">
        <f t="shared" si="22"/>
        <v>1665.5992105263158</v>
      </c>
      <c r="R25" s="185">
        <f t="shared" si="22"/>
        <v>1665.5992105263158</v>
      </c>
      <c r="S25" s="185">
        <f t="shared" si="22"/>
        <v>1665.5992105263158</v>
      </c>
      <c r="T25" s="185">
        <f t="shared" si="22"/>
        <v>1665.5992105263158</v>
      </c>
      <c r="U25" s="185">
        <f t="shared" si="22"/>
        <v>1665.5992105263158</v>
      </c>
      <c r="V25" s="185">
        <f t="shared" si="22"/>
        <v>1665.5992105263158</v>
      </c>
      <c r="W25" s="185">
        <f t="shared" si="22"/>
        <v>1665.5992105263158</v>
      </c>
      <c r="X25" s="185">
        <f t="shared" si="22"/>
        <v>1665.5992105263158</v>
      </c>
      <c r="Y25" s="185">
        <f t="shared" si="22"/>
        <v>1665.5992105263158</v>
      </c>
      <c r="Z25" s="185">
        <f t="shared" si="22"/>
        <v>1665.5992105263158</v>
      </c>
      <c r="AA25" s="185">
        <f t="shared" si="22"/>
        <v>1665.5992105263158</v>
      </c>
      <c r="AB25" s="185">
        <f t="shared" si="22"/>
        <v>1665.5992105263158</v>
      </c>
      <c r="AC25" s="185">
        <f t="shared" si="22"/>
        <v>1665.5992105263158</v>
      </c>
      <c r="AD25" s="185">
        <f t="shared" si="22"/>
        <v>1665.5992105263158</v>
      </c>
      <c r="AE25" s="185">
        <f t="shared" si="22"/>
        <v>1665.5992105263158</v>
      </c>
      <c r="AF25" s="185">
        <f t="shared" si="22"/>
        <v>1665.5992105263158</v>
      </c>
      <c r="AG25" s="185">
        <f t="shared" si="22"/>
        <v>1665.5992105263158</v>
      </c>
      <c r="AH25" s="185">
        <f t="shared" si="22"/>
        <v>1665.5992105263158</v>
      </c>
      <c r="AI25" s="185">
        <f t="shared" si="22"/>
        <v>1665.5992105263158</v>
      </c>
      <c r="AJ25" s="185">
        <f t="shared" si="22"/>
        <v>1665.5992105263158</v>
      </c>
      <c r="AK25" s="185">
        <f t="shared" si="22"/>
        <v>1665.5992105263158</v>
      </c>
      <c r="AL25" s="185">
        <f t="shared" si="22"/>
        <v>1665.5992105263158</v>
      </c>
      <c r="AM25" s="185">
        <f t="shared" si="22"/>
        <v>1665.5992105263158</v>
      </c>
      <c r="AN25" s="185">
        <f t="shared" si="22"/>
        <v>1665.5992105263158</v>
      </c>
      <c r="AO25" s="185">
        <f t="shared" si="22"/>
        <v>1665.5992105263158</v>
      </c>
      <c r="AP25" s="185">
        <f t="shared" si="22"/>
        <v>1665.5992105263158</v>
      </c>
      <c r="AQ25" s="185">
        <f t="shared" si="22"/>
        <v>1665.5992105263158</v>
      </c>
      <c r="AR25" s="185">
        <f t="shared" si="22"/>
        <v>1665.5992105263158</v>
      </c>
      <c r="AS25" s="185">
        <f t="shared" si="22"/>
        <v>1665.5992105263158</v>
      </c>
      <c r="AT25" s="86"/>
      <c r="AU25" s="31">
        <f t="shared" si="15"/>
        <v>63292.769999999953</v>
      </c>
      <c r="AV25" s="7"/>
      <c r="AW25" s="153"/>
      <c r="AX25" s="11"/>
    </row>
    <row r="26" spans="1:50" x14ac:dyDescent="0.25">
      <c r="B26" s="152" t="s">
        <v>78</v>
      </c>
      <c r="C26" s="40" t="s">
        <v>79</v>
      </c>
      <c r="D26" s="179">
        <v>50000</v>
      </c>
      <c r="E26" s="151">
        <v>44377</v>
      </c>
      <c r="F26" s="151">
        <v>44377</v>
      </c>
      <c r="G26" s="206">
        <v>2466.8036499999998</v>
      </c>
      <c r="H26" s="184">
        <f>($D$26-$G$26)/((((YEAR($E$26)-YEAR($E$2))*12)+(MONTH($E$26)-MONTH($E$2))))</f>
        <v>2376.6598174999999</v>
      </c>
      <c r="I26" s="185">
        <f t="shared" ref="I26:AA26" si="23">($D$26-$G$26)/((((YEAR($E$26)-YEAR($E$2))*12)+(MONTH($E$26)-MONTH($E$2))))</f>
        <v>2376.6598174999999</v>
      </c>
      <c r="J26" s="185">
        <f t="shared" si="23"/>
        <v>2376.6598174999999</v>
      </c>
      <c r="K26" s="185">
        <f t="shared" si="23"/>
        <v>2376.6598174999999</v>
      </c>
      <c r="L26" s="185">
        <f t="shared" si="23"/>
        <v>2376.6598174999999</v>
      </c>
      <c r="M26" s="185">
        <f t="shared" si="23"/>
        <v>2376.6598174999999</v>
      </c>
      <c r="N26" s="185">
        <f t="shared" si="23"/>
        <v>2376.6598174999999</v>
      </c>
      <c r="O26" s="185">
        <f t="shared" si="23"/>
        <v>2376.6598174999999</v>
      </c>
      <c r="P26" s="185">
        <f t="shared" si="23"/>
        <v>2376.6598174999999</v>
      </c>
      <c r="Q26" s="185">
        <f t="shared" si="23"/>
        <v>2376.6598174999999</v>
      </c>
      <c r="R26" s="185">
        <f t="shared" si="23"/>
        <v>2376.6598174999999</v>
      </c>
      <c r="S26" s="185">
        <f t="shared" si="23"/>
        <v>2376.6598174999999</v>
      </c>
      <c r="T26" s="185">
        <f t="shared" si="23"/>
        <v>2376.6598174999999</v>
      </c>
      <c r="U26" s="185">
        <f t="shared" si="23"/>
        <v>2376.6598174999999</v>
      </c>
      <c r="V26" s="185">
        <f t="shared" si="23"/>
        <v>2376.6598174999999</v>
      </c>
      <c r="W26" s="185">
        <f t="shared" si="23"/>
        <v>2376.6598174999999</v>
      </c>
      <c r="X26" s="185">
        <f t="shared" si="23"/>
        <v>2376.6598174999999</v>
      </c>
      <c r="Y26" s="185">
        <f t="shared" si="23"/>
        <v>2376.6598174999999</v>
      </c>
      <c r="Z26" s="185">
        <f t="shared" si="23"/>
        <v>2376.6598174999999</v>
      </c>
      <c r="AA26" s="185">
        <f t="shared" si="23"/>
        <v>2376.6598174999999</v>
      </c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  <c r="AT26" s="86"/>
      <c r="AU26" s="31">
        <f t="shared" si="15"/>
        <v>47533.196349999984</v>
      </c>
      <c r="AV26" s="7"/>
      <c r="AW26" s="153"/>
      <c r="AX26" s="11"/>
    </row>
    <row r="27" spans="1:50" x14ac:dyDescent="0.25">
      <c r="B27" s="152" t="s">
        <v>78</v>
      </c>
      <c r="C27" s="40" t="s">
        <v>79</v>
      </c>
      <c r="D27" s="179">
        <v>250000</v>
      </c>
      <c r="E27" s="151">
        <v>44926</v>
      </c>
      <c r="F27" s="151" t="s">
        <v>67</v>
      </c>
      <c r="G27" s="206">
        <v>207123.8</v>
      </c>
      <c r="H27" s="184">
        <f>($D$27-$G$27)/((((YEAR($E$27)-YEAR($E$2))*12)+(MONTH($E$27)-MONTH($E$2))))</f>
        <v>1128.3210526315793</v>
      </c>
      <c r="I27" s="185">
        <f t="shared" ref="I27:AS27" si="24">($D$27-$G$27)/((((YEAR($E$27)-YEAR($E$2))*12)+(MONTH($E$27)-MONTH($E$2))))</f>
        <v>1128.3210526315793</v>
      </c>
      <c r="J27" s="185">
        <f t="shared" si="24"/>
        <v>1128.3210526315793</v>
      </c>
      <c r="K27" s="185">
        <f t="shared" si="24"/>
        <v>1128.3210526315793</v>
      </c>
      <c r="L27" s="185">
        <f t="shared" si="24"/>
        <v>1128.3210526315793</v>
      </c>
      <c r="M27" s="185">
        <f t="shared" si="24"/>
        <v>1128.3210526315793</v>
      </c>
      <c r="N27" s="185">
        <f t="shared" si="24"/>
        <v>1128.3210526315793</v>
      </c>
      <c r="O27" s="185">
        <f t="shared" si="24"/>
        <v>1128.3210526315793</v>
      </c>
      <c r="P27" s="185">
        <f t="shared" si="24"/>
        <v>1128.3210526315793</v>
      </c>
      <c r="Q27" s="185">
        <f t="shared" si="24"/>
        <v>1128.3210526315793</v>
      </c>
      <c r="R27" s="185">
        <f t="shared" si="24"/>
        <v>1128.3210526315793</v>
      </c>
      <c r="S27" s="185">
        <f t="shared" si="24"/>
        <v>1128.3210526315793</v>
      </c>
      <c r="T27" s="185">
        <f t="shared" si="24"/>
        <v>1128.3210526315793</v>
      </c>
      <c r="U27" s="185">
        <f t="shared" si="24"/>
        <v>1128.3210526315793</v>
      </c>
      <c r="V27" s="185">
        <f t="shared" si="24"/>
        <v>1128.3210526315793</v>
      </c>
      <c r="W27" s="185">
        <f t="shared" si="24"/>
        <v>1128.3210526315793</v>
      </c>
      <c r="X27" s="185">
        <f t="shared" si="24"/>
        <v>1128.3210526315793</v>
      </c>
      <c r="Y27" s="185">
        <f t="shared" si="24"/>
        <v>1128.3210526315793</v>
      </c>
      <c r="Z27" s="185">
        <f t="shared" si="24"/>
        <v>1128.3210526315793</v>
      </c>
      <c r="AA27" s="185">
        <f t="shared" si="24"/>
        <v>1128.3210526315793</v>
      </c>
      <c r="AB27" s="185">
        <f t="shared" si="24"/>
        <v>1128.3210526315793</v>
      </c>
      <c r="AC27" s="185">
        <f t="shared" si="24"/>
        <v>1128.3210526315793</v>
      </c>
      <c r="AD27" s="185">
        <f t="shared" si="24"/>
        <v>1128.3210526315793</v>
      </c>
      <c r="AE27" s="185">
        <f t="shared" si="24"/>
        <v>1128.3210526315793</v>
      </c>
      <c r="AF27" s="185">
        <f t="shared" si="24"/>
        <v>1128.3210526315793</v>
      </c>
      <c r="AG27" s="185">
        <f t="shared" si="24"/>
        <v>1128.3210526315793</v>
      </c>
      <c r="AH27" s="185">
        <f t="shared" si="24"/>
        <v>1128.3210526315793</v>
      </c>
      <c r="AI27" s="185">
        <f t="shared" si="24"/>
        <v>1128.3210526315793</v>
      </c>
      <c r="AJ27" s="185">
        <f t="shared" si="24"/>
        <v>1128.3210526315793</v>
      </c>
      <c r="AK27" s="185">
        <f t="shared" si="24"/>
        <v>1128.3210526315793</v>
      </c>
      <c r="AL27" s="185">
        <f t="shared" si="24"/>
        <v>1128.3210526315793</v>
      </c>
      <c r="AM27" s="185">
        <f t="shared" si="24"/>
        <v>1128.3210526315793</v>
      </c>
      <c r="AN27" s="185">
        <f t="shared" si="24"/>
        <v>1128.3210526315793</v>
      </c>
      <c r="AO27" s="185">
        <f t="shared" si="24"/>
        <v>1128.3210526315793</v>
      </c>
      <c r="AP27" s="185">
        <f t="shared" si="24"/>
        <v>1128.3210526315793</v>
      </c>
      <c r="AQ27" s="185">
        <f t="shared" si="24"/>
        <v>1128.3210526315793</v>
      </c>
      <c r="AR27" s="185">
        <f t="shared" si="24"/>
        <v>1128.3210526315793</v>
      </c>
      <c r="AS27" s="185">
        <f t="shared" si="24"/>
        <v>1128.3210526315793</v>
      </c>
      <c r="AT27" s="86"/>
      <c r="AU27" s="31">
        <f t="shared" si="15"/>
        <v>42876.200000000019</v>
      </c>
      <c r="AV27" s="7"/>
      <c r="AW27" s="153"/>
      <c r="AX27" s="11"/>
    </row>
    <row r="28" spans="1:50" x14ac:dyDescent="0.25">
      <c r="B28" s="152" t="s">
        <v>78</v>
      </c>
      <c r="C28" s="40" t="s">
        <v>79</v>
      </c>
      <c r="D28" s="179">
        <v>454545</v>
      </c>
      <c r="E28" s="151"/>
      <c r="F28" s="151"/>
      <c r="G28" s="206"/>
      <c r="H28" s="148"/>
      <c r="I28" s="149"/>
      <c r="J28" s="149">
        <f t="shared" ref="J28:AS28" si="25">151515/12</f>
        <v>12626.25</v>
      </c>
      <c r="K28" s="149">
        <f t="shared" si="25"/>
        <v>12626.25</v>
      </c>
      <c r="L28" s="149">
        <f t="shared" si="25"/>
        <v>12626.25</v>
      </c>
      <c r="M28" s="149">
        <f t="shared" si="25"/>
        <v>12626.25</v>
      </c>
      <c r="N28" s="149">
        <f t="shared" si="25"/>
        <v>12626.25</v>
      </c>
      <c r="O28" s="149">
        <f t="shared" si="25"/>
        <v>12626.25</v>
      </c>
      <c r="P28" s="149">
        <f t="shared" si="25"/>
        <v>12626.25</v>
      </c>
      <c r="Q28" s="149">
        <f t="shared" si="25"/>
        <v>12626.25</v>
      </c>
      <c r="R28" s="149">
        <f t="shared" si="25"/>
        <v>12626.25</v>
      </c>
      <c r="S28" s="149">
        <f t="shared" si="25"/>
        <v>12626.25</v>
      </c>
      <c r="T28" s="149">
        <f t="shared" si="25"/>
        <v>12626.25</v>
      </c>
      <c r="U28" s="149">
        <f t="shared" si="25"/>
        <v>12626.25</v>
      </c>
      <c r="V28" s="149">
        <f t="shared" si="25"/>
        <v>12626.25</v>
      </c>
      <c r="W28" s="149">
        <f t="shared" si="25"/>
        <v>12626.25</v>
      </c>
      <c r="X28" s="149">
        <f t="shared" si="25"/>
        <v>12626.25</v>
      </c>
      <c r="Y28" s="149">
        <f t="shared" si="25"/>
        <v>12626.25</v>
      </c>
      <c r="Z28" s="149">
        <f t="shared" si="25"/>
        <v>12626.25</v>
      </c>
      <c r="AA28" s="149">
        <f t="shared" si="25"/>
        <v>12626.25</v>
      </c>
      <c r="AB28" s="149">
        <f t="shared" si="25"/>
        <v>12626.25</v>
      </c>
      <c r="AC28" s="149">
        <f t="shared" si="25"/>
        <v>12626.25</v>
      </c>
      <c r="AD28" s="149">
        <f t="shared" si="25"/>
        <v>12626.25</v>
      </c>
      <c r="AE28" s="149">
        <f t="shared" si="25"/>
        <v>12626.25</v>
      </c>
      <c r="AF28" s="149">
        <f t="shared" si="25"/>
        <v>12626.25</v>
      </c>
      <c r="AG28" s="149">
        <f t="shared" si="25"/>
        <v>12626.25</v>
      </c>
      <c r="AH28" s="149">
        <f t="shared" si="25"/>
        <v>12626.25</v>
      </c>
      <c r="AI28" s="149">
        <f t="shared" si="25"/>
        <v>12626.25</v>
      </c>
      <c r="AJ28" s="149">
        <f t="shared" si="25"/>
        <v>12626.25</v>
      </c>
      <c r="AK28" s="149">
        <f t="shared" si="25"/>
        <v>12626.25</v>
      </c>
      <c r="AL28" s="149">
        <f t="shared" si="25"/>
        <v>12626.25</v>
      </c>
      <c r="AM28" s="149">
        <f t="shared" si="25"/>
        <v>12626.25</v>
      </c>
      <c r="AN28" s="149">
        <f t="shared" si="25"/>
        <v>12626.25</v>
      </c>
      <c r="AO28" s="149">
        <f t="shared" si="25"/>
        <v>12626.25</v>
      </c>
      <c r="AP28" s="149">
        <f t="shared" si="25"/>
        <v>12626.25</v>
      </c>
      <c r="AQ28" s="149">
        <f t="shared" si="25"/>
        <v>12626.25</v>
      </c>
      <c r="AR28" s="149">
        <f t="shared" si="25"/>
        <v>12626.25</v>
      </c>
      <c r="AS28" s="149">
        <f t="shared" si="25"/>
        <v>12626.25</v>
      </c>
      <c r="AT28" s="86"/>
      <c r="AU28" s="31">
        <f t="shared" si="15"/>
        <v>454545</v>
      </c>
      <c r="AV28" s="7"/>
      <c r="AW28" s="153"/>
      <c r="AX28" s="11"/>
    </row>
    <row r="29" spans="1:50" x14ac:dyDescent="0.25">
      <c r="B29" s="152"/>
      <c r="C29" s="40"/>
      <c r="D29" s="179"/>
      <c r="E29" s="151"/>
      <c r="F29" s="76"/>
      <c r="G29" s="180"/>
      <c r="H29" s="148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86"/>
      <c r="AU29" s="31"/>
      <c r="AV29" s="7"/>
      <c r="AW29" s="153"/>
      <c r="AX29" s="11"/>
    </row>
    <row r="30" spans="1:50" x14ac:dyDescent="0.25">
      <c r="C30" s="13"/>
      <c r="D30" s="82"/>
      <c r="E30" s="11"/>
      <c r="F30" s="76"/>
      <c r="G30" s="76"/>
      <c r="H30" s="85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27"/>
      <c r="AV30" s="7"/>
      <c r="AW30" s="8"/>
      <c r="AX30" s="11"/>
    </row>
    <row r="31" spans="1:50" x14ac:dyDescent="0.25">
      <c r="D31" s="82"/>
      <c r="E31" s="11"/>
      <c r="F31" s="84" t="s">
        <v>28</v>
      </c>
      <c r="G31" s="76"/>
      <c r="H31" s="16">
        <f>SUM(H18:H30)</f>
        <v>48813.278059471108</v>
      </c>
      <c r="I31" s="16">
        <f t="shared" ref="I31:AS31" si="26">SUM(I18:I30)</f>
        <v>48813.278059471108</v>
      </c>
      <c r="J31" s="16">
        <f t="shared" si="26"/>
        <v>53098.3480594711</v>
      </c>
      <c r="K31" s="16">
        <f t="shared" si="26"/>
        <v>53098.3480594711</v>
      </c>
      <c r="L31" s="16">
        <f t="shared" si="26"/>
        <v>53098.3480594711</v>
      </c>
      <c r="M31" s="16">
        <f t="shared" si="26"/>
        <v>53098.3480594711</v>
      </c>
      <c r="N31" s="16">
        <f t="shared" si="26"/>
        <v>53098.3480594711</v>
      </c>
      <c r="O31" s="16">
        <f t="shared" si="26"/>
        <v>52347.001868994921</v>
      </c>
      <c r="P31" s="16">
        <f t="shared" si="26"/>
        <v>48037.216868994918</v>
      </c>
      <c r="Q31" s="16">
        <f t="shared" si="26"/>
        <v>46926.077480106032</v>
      </c>
      <c r="R31" s="16">
        <f t="shared" si="26"/>
        <v>46926.077480106032</v>
      </c>
      <c r="S31" s="16">
        <f t="shared" si="26"/>
        <v>46926.077480106032</v>
      </c>
      <c r="T31" s="16">
        <f t="shared" si="26"/>
        <v>46926.077480106032</v>
      </c>
      <c r="U31" s="16">
        <f t="shared" si="26"/>
        <v>46926.077480106032</v>
      </c>
      <c r="V31" s="16">
        <f t="shared" si="26"/>
        <v>46926.077480106032</v>
      </c>
      <c r="W31" s="16">
        <f t="shared" si="26"/>
        <v>46926.077480106032</v>
      </c>
      <c r="X31" s="16">
        <f t="shared" si="26"/>
        <v>46926.077480106032</v>
      </c>
      <c r="Y31" s="16">
        <f t="shared" si="26"/>
        <v>42327.691009517788</v>
      </c>
      <c r="Z31" s="16">
        <f t="shared" si="26"/>
        <v>42327.691009517788</v>
      </c>
      <c r="AA31" s="16">
        <f t="shared" si="26"/>
        <v>38720.024342851124</v>
      </c>
      <c r="AB31" s="16">
        <f t="shared" si="26"/>
        <v>36343.36452535112</v>
      </c>
      <c r="AC31" s="16">
        <f t="shared" si="26"/>
        <v>36343.36452535112</v>
      </c>
      <c r="AD31" s="16">
        <f t="shared" si="26"/>
        <v>36343.36452535112</v>
      </c>
      <c r="AE31" s="16">
        <f t="shared" si="26"/>
        <v>36343.36452535112</v>
      </c>
      <c r="AF31" s="16">
        <f t="shared" si="26"/>
        <v>36343.36452535112</v>
      </c>
      <c r="AG31" s="16">
        <f t="shared" si="26"/>
        <v>36343.36452535112</v>
      </c>
      <c r="AH31" s="16">
        <f t="shared" si="26"/>
        <v>36343.36452535112</v>
      </c>
      <c r="AI31" s="16">
        <f t="shared" si="26"/>
        <v>36343.36452535112</v>
      </c>
      <c r="AJ31" s="16">
        <f t="shared" si="26"/>
        <v>36343.36452535112</v>
      </c>
      <c r="AK31" s="16">
        <f t="shared" si="26"/>
        <v>36343.36452535112</v>
      </c>
      <c r="AL31" s="16">
        <f t="shared" si="26"/>
        <v>36343.36452535112</v>
      </c>
      <c r="AM31" s="16">
        <f t="shared" si="26"/>
        <v>36343.36452535112</v>
      </c>
      <c r="AN31" s="16">
        <f t="shared" si="26"/>
        <v>36343.36452535112</v>
      </c>
      <c r="AO31" s="16">
        <f t="shared" si="26"/>
        <v>31639.447858684456</v>
      </c>
      <c r="AP31" s="16">
        <f t="shared" si="26"/>
        <v>31639.447858684456</v>
      </c>
      <c r="AQ31" s="16">
        <f t="shared" si="26"/>
        <v>31639.447858684456</v>
      </c>
      <c r="AR31" s="16">
        <f t="shared" si="26"/>
        <v>31639.447858684456</v>
      </c>
      <c r="AS31" s="16">
        <f t="shared" si="26"/>
        <v>21116.281642468239</v>
      </c>
      <c r="AT31" s="17"/>
      <c r="AU31" s="16">
        <f>SUM(AU18:AU30)</f>
        <v>1582424.353263793</v>
      </c>
      <c r="AV31" s="7"/>
      <c r="AW31" s="8"/>
      <c r="AX31" s="11"/>
    </row>
    <row r="32" spans="1:50" x14ac:dyDescent="0.25">
      <c r="A32" s="83" t="s">
        <v>27</v>
      </c>
      <c r="C32" s="13"/>
      <c r="D32" s="82"/>
      <c r="E32" s="11"/>
      <c r="F32" s="76"/>
      <c r="G32" s="76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9"/>
      <c r="AV32" s="7"/>
      <c r="AW32" s="8"/>
      <c r="AX32" s="11"/>
    </row>
    <row r="33" spans="1:51" x14ac:dyDescent="0.25">
      <c r="A33" s="83"/>
      <c r="C33" s="13"/>
      <c r="D33" s="82"/>
      <c r="E33" s="11"/>
      <c r="F33" s="76"/>
      <c r="G33" s="76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9"/>
      <c r="AV33" s="7"/>
      <c r="AW33" s="149"/>
      <c r="AX33" s="115"/>
      <c r="AY33" s="126"/>
    </row>
    <row r="34" spans="1:51" ht="15" customHeight="1" x14ac:dyDescent="0.25">
      <c r="B34" s="80" t="s">
        <v>26</v>
      </c>
      <c r="C34" s="47" t="s">
        <v>25</v>
      </c>
      <c r="D34" s="79" t="s">
        <v>24</v>
      </c>
      <c r="E34" s="44"/>
      <c r="F34" s="78" t="s">
        <v>70</v>
      </c>
      <c r="G34" s="78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9"/>
      <c r="AV34" s="7"/>
      <c r="AW34" s="197"/>
      <c r="AX34" s="198"/>
      <c r="AY34" s="126"/>
    </row>
    <row r="35" spans="1:51" x14ac:dyDescent="0.25">
      <c r="B35" s="77"/>
      <c r="C35" s="25"/>
      <c r="D35" s="207"/>
      <c r="E35" s="11"/>
      <c r="F35" s="76"/>
      <c r="G35" s="76"/>
      <c r="H35" s="75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37"/>
      <c r="AV35" s="7"/>
      <c r="AW35" s="149"/>
      <c r="AX35" s="115"/>
      <c r="AY35" s="126"/>
    </row>
    <row r="36" spans="1:51" x14ac:dyDescent="0.25">
      <c r="B36" s="6">
        <v>5010</v>
      </c>
      <c r="C36" s="72" t="s">
        <v>23</v>
      </c>
      <c r="D36" s="181" t="s">
        <v>23</v>
      </c>
      <c r="E36" s="11"/>
      <c r="F36" s="209">
        <v>10000</v>
      </c>
      <c r="G36" s="70"/>
      <c r="H36" s="187">
        <f>-$F$36*0.97</f>
        <v>-9700</v>
      </c>
      <c r="I36" s="188">
        <f>-$F$36*0.97</f>
        <v>-9700</v>
      </c>
      <c r="J36" s="188">
        <f>-$F$36*0.975</f>
        <v>-9750</v>
      </c>
      <c r="K36" s="188">
        <f t="shared" ref="K36:O36" si="27">-$F$36*0.975</f>
        <v>-9750</v>
      </c>
      <c r="L36" s="188">
        <f t="shared" si="27"/>
        <v>-9750</v>
      </c>
      <c r="M36" s="188">
        <f t="shared" si="27"/>
        <v>-9750</v>
      </c>
      <c r="N36" s="188">
        <f t="shared" si="27"/>
        <v>-9750</v>
      </c>
      <c r="O36" s="188">
        <f t="shared" si="27"/>
        <v>-9750</v>
      </c>
      <c r="P36" s="149">
        <f>($F$36*-1.03)*0.955</f>
        <v>-9836.5</v>
      </c>
      <c r="Q36" s="149">
        <f>($F$36*-1.03)*0.955</f>
        <v>-9836.5</v>
      </c>
      <c r="R36" s="149">
        <f>($F$36*-1.03)*0.93</f>
        <v>-9579</v>
      </c>
      <c r="S36" s="149">
        <f t="shared" ref="S36:X36" si="28">($F$36*-1.03)*0.93</f>
        <v>-9579</v>
      </c>
      <c r="T36" s="149">
        <f t="shared" si="28"/>
        <v>-9579</v>
      </c>
      <c r="U36" s="149">
        <f t="shared" si="28"/>
        <v>-9579</v>
      </c>
      <c r="V36" s="149">
        <f t="shared" si="28"/>
        <v>-9579</v>
      </c>
      <c r="W36" s="149">
        <f t="shared" si="28"/>
        <v>-9579</v>
      </c>
      <c r="X36" s="149">
        <f t="shared" si="28"/>
        <v>-9579</v>
      </c>
      <c r="Y36" s="149">
        <f>($F$36*-1.03)*0.73</f>
        <v>-7519</v>
      </c>
      <c r="Z36" s="149">
        <f>($F$36*-1.03)*0.73</f>
        <v>-7519</v>
      </c>
      <c r="AA36" s="149">
        <f>($F$36*-1.03)*0.68</f>
        <v>-7004.0000000000009</v>
      </c>
      <c r="AB36" s="149">
        <f>($F$36*-1.06)*0.68</f>
        <v>-7208.0000000000009</v>
      </c>
      <c r="AC36" s="149">
        <f>($F$36*-1.06)*0.68</f>
        <v>-7208.0000000000009</v>
      </c>
      <c r="AD36" s="149">
        <f>($F$36*-1.06)*0.63</f>
        <v>-6678</v>
      </c>
      <c r="AE36" s="149">
        <f t="shared" ref="AE36:AM36" si="29">($F$36*-1.06)*0.63</f>
        <v>-6678</v>
      </c>
      <c r="AF36" s="149">
        <f t="shared" si="29"/>
        <v>-6678</v>
      </c>
      <c r="AG36" s="149">
        <f t="shared" si="29"/>
        <v>-6678</v>
      </c>
      <c r="AH36" s="149">
        <f t="shared" si="29"/>
        <v>-6678</v>
      </c>
      <c r="AI36" s="149">
        <f t="shared" si="29"/>
        <v>-6678</v>
      </c>
      <c r="AJ36" s="149">
        <f t="shared" si="29"/>
        <v>-6678</v>
      </c>
      <c r="AK36" s="149">
        <f t="shared" si="29"/>
        <v>-6678</v>
      </c>
      <c r="AL36" s="149">
        <f t="shared" si="29"/>
        <v>-6678</v>
      </c>
      <c r="AM36" s="149">
        <f t="shared" si="29"/>
        <v>-6678</v>
      </c>
      <c r="AN36" s="149">
        <f>($F$36*-1.09)*0.63</f>
        <v>-6867</v>
      </c>
      <c r="AO36" s="149">
        <f t="shared" ref="AO36:AS36" si="30">($F$36*-1.09)*0.63</f>
        <v>-6867</v>
      </c>
      <c r="AP36" s="149">
        <f t="shared" si="30"/>
        <v>-6867</v>
      </c>
      <c r="AQ36" s="149">
        <f t="shared" si="30"/>
        <v>-6867</v>
      </c>
      <c r="AR36" s="149">
        <f t="shared" si="30"/>
        <v>-6867</v>
      </c>
      <c r="AS36" s="149">
        <f t="shared" si="30"/>
        <v>-6867</v>
      </c>
      <c r="AT36" s="32"/>
      <c r="AU36" s="69">
        <f t="shared" ref="AU36:AU42" si="31">SUM(H36:AT36)</f>
        <v>-309066</v>
      </c>
      <c r="AV36" s="7"/>
      <c r="AW36" s="195"/>
      <c r="AX36" s="196"/>
      <c r="AY36" s="126"/>
    </row>
    <row r="37" spans="1:51" x14ac:dyDescent="0.25">
      <c r="B37" s="6">
        <v>5100</v>
      </c>
      <c r="C37" s="72" t="s">
        <v>40</v>
      </c>
      <c r="D37" s="71" t="s">
        <v>22</v>
      </c>
      <c r="E37" s="73"/>
      <c r="F37" s="209">
        <v>5000</v>
      </c>
      <c r="G37" s="70"/>
      <c r="H37" s="187">
        <f>-$F$37*0.35</f>
        <v>-1750</v>
      </c>
      <c r="I37" s="188">
        <f>-$F$37*0.35</f>
        <v>-1750</v>
      </c>
      <c r="J37" s="188">
        <f t="shared" ref="J37:O37" si="32">-$F$37*0.35</f>
        <v>-1750</v>
      </c>
      <c r="K37" s="188">
        <f t="shared" si="32"/>
        <v>-1750</v>
      </c>
      <c r="L37" s="188">
        <f t="shared" si="32"/>
        <v>-1750</v>
      </c>
      <c r="M37" s="188">
        <f t="shared" si="32"/>
        <v>-1750</v>
      </c>
      <c r="N37" s="188">
        <f t="shared" si="32"/>
        <v>-1750</v>
      </c>
      <c r="O37" s="188">
        <f t="shared" si="32"/>
        <v>-1750</v>
      </c>
      <c r="P37" s="149">
        <f>($F$37*-1.03)*0.35</f>
        <v>-1802.4999999999998</v>
      </c>
      <c r="Q37" s="149">
        <f t="shared" ref="Q37:AA37" si="33">($F$37*-1.03)*0.35</f>
        <v>-1802.4999999999998</v>
      </c>
      <c r="R37" s="149">
        <f t="shared" si="33"/>
        <v>-1802.4999999999998</v>
      </c>
      <c r="S37" s="149">
        <f t="shared" si="33"/>
        <v>-1802.4999999999998</v>
      </c>
      <c r="T37" s="149">
        <f t="shared" si="33"/>
        <v>-1802.4999999999998</v>
      </c>
      <c r="U37" s="149">
        <f t="shared" si="33"/>
        <v>-1802.4999999999998</v>
      </c>
      <c r="V37" s="149">
        <f t="shared" si="33"/>
        <v>-1802.4999999999998</v>
      </c>
      <c r="W37" s="149">
        <f t="shared" si="33"/>
        <v>-1802.4999999999998</v>
      </c>
      <c r="X37" s="149">
        <f t="shared" si="33"/>
        <v>-1802.4999999999998</v>
      </c>
      <c r="Y37" s="149">
        <f t="shared" si="33"/>
        <v>-1802.4999999999998</v>
      </c>
      <c r="Z37" s="149">
        <f t="shared" si="33"/>
        <v>-1802.4999999999998</v>
      </c>
      <c r="AA37" s="149">
        <f t="shared" si="33"/>
        <v>-1802.4999999999998</v>
      </c>
      <c r="AB37" s="149">
        <f>($F$37*-1.06)*0.35</f>
        <v>-1854.9999999999998</v>
      </c>
      <c r="AC37" s="149">
        <f t="shared" ref="AC37:AM37" si="34">($F$37*-1.06)*0.35</f>
        <v>-1854.9999999999998</v>
      </c>
      <c r="AD37" s="149">
        <f t="shared" si="34"/>
        <v>-1854.9999999999998</v>
      </c>
      <c r="AE37" s="149">
        <f t="shared" si="34"/>
        <v>-1854.9999999999998</v>
      </c>
      <c r="AF37" s="149">
        <f t="shared" si="34"/>
        <v>-1854.9999999999998</v>
      </c>
      <c r="AG37" s="149">
        <f t="shared" si="34"/>
        <v>-1854.9999999999998</v>
      </c>
      <c r="AH37" s="149">
        <f t="shared" si="34"/>
        <v>-1854.9999999999998</v>
      </c>
      <c r="AI37" s="149">
        <f t="shared" si="34"/>
        <v>-1854.9999999999998</v>
      </c>
      <c r="AJ37" s="149">
        <f t="shared" si="34"/>
        <v>-1854.9999999999998</v>
      </c>
      <c r="AK37" s="149">
        <f t="shared" si="34"/>
        <v>-1854.9999999999998</v>
      </c>
      <c r="AL37" s="149">
        <f t="shared" si="34"/>
        <v>-1854.9999999999998</v>
      </c>
      <c r="AM37" s="149">
        <f t="shared" si="34"/>
        <v>-1854.9999999999998</v>
      </c>
      <c r="AN37" s="149">
        <f>($F$37*-1.09)*0.35</f>
        <v>-1907.4999999999998</v>
      </c>
      <c r="AO37" s="149">
        <f t="shared" ref="AO37:AS37" si="35">($F$37*-1.09)*0.35</f>
        <v>-1907.4999999999998</v>
      </c>
      <c r="AP37" s="149">
        <f t="shared" si="35"/>
        <v>-1907.4999999999998</v>
      </c>
      <c r="AQ37" s="149">
        <f t="shared" si="35"/>
        <v>-1907.4999999999998</v>
      </c>
      <c r="AR37" s="149">
        <f t="shared" si="35"/>
        <v>-1907.4999999999998</v>
      </c>
      <c r="AS37" s="149">
        <f t="shared" si="35"/>
        <v>-1907.4999999999998</v>
      </c>
      <c r="AT37" s="32"/>
      <c r="AU37" s="69">
        <f t="shared" si="31"/>
        <v>-69335</v>
      </c>
      <c r="AV37" s="7"/>
      <c r="AW37" s="195"/>
      <c r="AX37" s="196"/>
      <c r="AY37" s="126"/>
    </row>
    <row r="38" spans="1:51" x14ac:dyDescent="0.25">
      <c r="B38" s="6">
        <v>5100</v>
      </c>
      <c r="C38" s="72" t="s">
        <v>40</v>
      </c>
      <c r="D38" s="71" t="s">
        <v>22</v>
      </c>
      <c r="E38" s="73"/>
      <c r="F38" s="209">
        <v>3000</v>
      </c>
      <c r="G38" s="70"/>
      <c r="H38" s="187">
        <f>-$F$38</f>
        <v>-3000</v>
      </c>
      <c r="I38" s="188">
        <f t="shared" ref="I38" si="36">-$F$38</f>
        <v>-3000</v>
      </c>
      <c r="J38" s="188">
        <f>-$F$38*0.55</f>
        <v>-1650.0000000000002</v>
      </c>
      <c r="K38" s="188">
        <f t="shared" ref="K38:O38" si="37">-$F$38*0.55</f>
        <v>-1650.0000000000002</v>
      </c>
      <c r="L38" s="188">
        <f t="shared" si="37"/>
        <v>-1650.0000000000002</v>
      </c>
      <c r="M38" s="188">
        <f t="shared" si="37"/>
        <v>-1650.0000000000002</v>
      </c>
      <c r="N38" s="188">
        <f t="shared" si="37"/>
        <v>-1650.0000000000002</v>
      </c>
      <c r="O38" s="188">
        <f t="shared" si="37"/>
        <v>-1650.0000000000002</v>
      </c>
      <c r="P38" s="149">
        <f>(-$F$38*1.03)*0.55</f>
        <v>-1699.5000000000002</v>
      </c>
      <c r="Q38" s="149">
        <f t="shared" ref="Q38:AB38" si="38">(-$F$38*1.03)*0.55</f>
        <v>-1699.5000000000002</v>
      </c>
      <c r="R38" s="149">
        <f t="shared" si="38"/>
        <v>-1699.5000000000002</v>
      </c>
      <c r="S38" s="149">
        <f t="shared" si="38"/>
        <v>-1699.5000000000002</v>
      </c>
      <c r="T38" s="149">
        <f t="shared" si="38"/>
        <v>-1699.5000000000002</v>
      </c>
      <c r="U38" s="149">
        <f t="shared" si="38"/>
        <v>-1699.5000000000002</v>
      </c>
      <c r="V38" s="149">
        <f t="shared" si="38"/>
        <v>-1699.5000000000002</v>
      </c>
      <c r="W38" s="149">
        <f t="shared" si="38"/>
        <v>-1699.5000000000002</v>
      </c>
      <c r="X38" s="149">
        <f t="shared" si="38"/>
        <v>-1699.5000000000002</v>
      </c>
      <c r="Y38" s="149">
        <f t="shared" si="38"/>
        <v>-1699.5000000000002</v>
      </c>
      <c r="Z38" s="149">
        <f t="shared" si="38"/>
        <v>-1699.5000000000002</v>
      </c>
      <c r="AA38" s="149">
        <f t="shared" si="38"/>
        <v>-1699.5000000000002</v>
      </c>
      <c r="AB38" s="149">
        <f t="shared" si="38"/>
        <v>-1699.5000000000002</v>
      </c>
      <c r="AC38" s="149">
        <f>(-$F$38*1.06)*0.45</f>
        <v>-1431</v>
      </c>
      <c r="AD38" s="149">
        <f>(-$F$38*1.06)*0.2</f>
        <v>-636</v>
      </c>
      <c r="AE38" s="149">
        <f t="shared" ref="AE38:AM38" si="39">(-$F$38*1.06)*0.2</f>
        <v>-636</v>
      </c>
      <c r="AF38" s="149">
        <f t="shared" si="39"/>
        <v>-636</v>
      </c>
      <c r="AG38" s="149">
        <f t="shared" si="39"/>
        <v>-636</v>
      </c>
      <c r="AH38" s="149">
        <f t="shared" si="39"/>
        <v>-636</v>
      </c>
      <c r="AI38" s="149">
        <f t="shared" si="39"/>
        <v>-636</v>
      </c>
      <c r="AJ38" s="149">
        <f t="shared" si="39"/>
        <v>-636</v>
      </c>
      <c r="AK38" s="149">
        <f t="shared" si="39"/>
        <v>-636</v>
      </c>
      <c r="AL38" s="149">
        <f t="shared" si="39"/>
        <v>-636</v>
      </c>
      <c r="AM38" s="149">
        <f t="shared" si="39"/>
        <v>-636</v>
      </c>
      <c r="AN38" s="149">
        <f>(-$F$38*1.09)*0.2</f>
        <v>-654.00000000000011</v>
      </c>
      <c r="AO38" s="149">
        <f t="shared" ref="AO38:AS38" si="40">(-$F$38*1.09)*0.2</f>
        <v>-654.00000000000011</v>
      </c>
      <c r="AP38" s="149">
        <f t="shared" si="40"/>
        <v>-654.00000000000011</v>
      </c>
      <c r="AQ38" s="149">
        <f t="shared" si="40"/>
        <v>-654.00000000000011</v>
      </c>
      <c r="AR38" s="149">
        <f t="shared" si="40"/>
        <v>-654.00000000000011</v>
      </c>
      <c r="AS38" s="149">
        <f t="shared" si="40"/>
        <v>-654.00000000000011</v>
      </c>
      <c r="AT38" s="32"/>
      <c r="AU38" s="69">
        <f t="shared" si="31"/>
        <v>-49708.5</v>
      </c>
      <c r="AV38" s="7"/>
      <c r="AW38" s="195"/>
      <c r="AX38" s="196"/>
      <c r="AY38" s="199"/>
    </row>
    <row r="39" spans="1:51" x14ac:dyDescent="0.25">
      <c r="B39" s="6">
        <v>5100</v>
      </c>
      <c r="C39" s="72" t="s">
        <v>21</v>
      </c>
      <c r="D39" s="71" t="s">
        <v>22</v>
      </c>
      <c r="E39" s="73"/>
      <c r="F39" s="209">
        <v>4000</v>
      </c>
      <c r="G39" s="70"/>
      <c r="H39" s="187">
        <f>-$F$39</f>
        <v>-4000</v>
      </c>
      <c r="I39" s="188">
        <f t="shared" ref="I39:O39" si="41">-$F$39</f>
        <v>-4000</v>
      </c>
      <c r="J39" s="188">
        <f t="shared" si="41"/>
        <v>-4000</v>
      </c>
      <c r="K39" s="188">
        <f t="shared" si="41"/>
        <v>-4000</v>
      </c>
      <c r="L39" s="188">
        <f t="shared" si="41"/>
        <v>-4000</v>
      </c>
      <c r="M39" s="188">
        <f t="shared" si="41"/>
        <v>-4000</v>
      </c>
      <c r="N39" s="188">
        <f t="shared" si="41"/>
        <v>-4000</v>
      </c>
      <c r="O39" s="188">
        <f t="shared" si="41"/>
        <v>-4000</v>
      </c>
      <c r="P39" s="149">
        <f>-$F$39*1.03</f>
        <v>-4120</v>
      </c>
      <c r="Q39" s="149">
        <f t="shared" ref="Q39:AA39" si="42">-$F$39*1.03</f>
        <v>-4120</v>
      </c>
      <c r="R39" s="149">
        <f t="shared" si="42"/>
        <v>-4120</v>
      </c>
      <c r="S39" s="149">
        <f t="shared" si="42"/>
        <v>-4120</v>
      </c>
      <c r="T39" s="149">
        <f t="shared" si="42"/>
        <v>-4120</v>
      </c>
      <c r="U39" s="149">
        <f t="shared" si="42"/>
        <v>-4120</v>
      </c>
      <c r="V39" s="149">
        <f t="shared" si="42"/>
        <v>-4120</v>
      </c>
      <c r="W39" s="149">
        <f t="shared" si="42"/>
        <v>-4120</v>
      </c>
      <c r="X39" s="149">
        <f t="shared" si="42"/>
        <v>-4120</v>
      </c>
      <c r="Y39" s="149">
        <f t="shared" si="42"/>
        <v>-4120</v>
      </c>
      <c r="Z39" s="149">
        <f t="shared" si="42"/>
        <v>-4120</v>
      </c>
      <c r="AA39" s="149">
        <f t="shared" si="42"/>
        <v>-4120</v>
      </c>
      <c r="AB39" s="149">
        <f>-$F$39*1.06</f>
        <v>-4240</v>
      </c>
      <c r="AC39" s="149">
        <f t="shared" ref="AC39:AM39" si="43">-$F$39*1.06</f>
        <v>-4240</v>
      </c>
      <c r="AD39" s="149">
        <f t="shared" si="43"/>
        <v>-4240</v>
      </c>
      <c r="AE39" s="149">
        <f t="shared" si="43"/>
        <v>-4240</v>
      </c>
      <c r="AF39" s="149">
        <f t="shared" si="43"/>
        <v>-4240</v>
      </c>
      <c r="AG39" s="149">
        <f t="shared" si="43"/>
        <v>-4240</v>
      </c>
      <c r="AH39" s="149">
        <f t="shared" si="43"/>
        <v>-4240</v>
      </c>
      <c r="AI39" s="149">
        <f t="shared" si="43"/>
        <v>-4240</v>
      </c>
      <c r="AJ39" s="149">
        <f t="shared" si="43"/>
        <v>-4240</v>
      </c>
      <c r="AK39" s="149">
        <f t="shared" si="43"/>
        <v>-4240</v>
      </c>
      <c r="AL39" s="149">
        <f t="shared" si="43"/>
        <v>-4240</v>
      </c>
      <c r="AM39" s="149">
        <f t="shared" si="43"/>
        <v>-4240</v>
      </c>
      <c r="AN39" s="149">
        <f>-$F$39*1.09</f>
        <v>-4360</v>
      </c>
      <c r="AO39" s="149">
        <f t="shared" ref="AO39:AS39" si="44">-$F$39*1.09</f>
        <v>-4360</v>
      </c>
      <c r="AP39" s="149">
        <f t="shared" si="44"/>
        <v>-4360</v>
      </c>
      <c r="AQ39" s="149">
        <f t="shared" si="44"/>
        <v>-4360</v>
      </c>
      <c r="AR39" s="149">
        <f t="shared" si="44"/>
        <v>-4360</v>
      </c>
      <c r="AS39" s="149">
        <f t="shared" si="44"/>
        <v>-4360</v>
      </c>
      <c r="AT39" s="32"/>
      <c r="AU39" s="69">
        <f t="shared" si="31"/>
        <v>-158480</v>
      </c>
      <c r="AV39" s="7"/>
      <c r="AW39" s="195"/>
      <c r="AX39" s="196"/>
      <c r="AY39" s="199"/>
    </row>
    <row r="40" spans="1:51" x14ac:dyDescent="0.25">
      <c r="B40" s="6">
        <v>5062</v>
      </c>
      <c r="C40" s="72" t="s">
        <v>40</v>
      </c>
      <c r="D40" s="71" t="s">
        <v>69</v>
      </c>
      <c r="E40" s="73"/>
      <c r="F40" s="209">
        <v>2250</v>
      </c>
      <c r="G40" s="210" t="s">
        <v>73</v>
      </c>
      <c r="H40" s="187">
        <v>0</v>
      </c>
      <c r="I40" s="188">
        <v>0</v>
      </c>
      <c r="J40" s="188">
        <v>0</v>
      </c>
      <c r="K40" s="188">
        <v>0</v>
      </c>
      <c r="L40" s="188">
        <v>0</v>
      </c>
      <c r="M40" s="188">
        <v>0</v>
      </c>
      <c r="N40" s="188">
        <v>0</v>
      </c>
      <c r="O40" s="188">
        <v>0</v>
      </c>
      <c r="P40" s="188">
        <v>0</v>
      </c>
      <c r="Q40" s="188">
        <v>0</v>
      </c>
      <c r="R40" s="188">
        <v>0</v>
      </c>
      <c r="S40" s="188">
        <v>0</v>
      </c>
      <c r="T40" s="188">
        <v>0</v>
      </c>
      <c r="U40" s="188">
        <v>0</v>
      </c>
      <c r="V40" s="188">
        <v>0</v>
      </c>
      <c r="W40" s="188">
        <v>0</v>
      </c>
      <c r="X40" s="188">
        <v>0</v>
      </c>
      <c r="Y40" s="188">
        <v>0</v>
      </c>
      <c r="Z40" s="188">
        <v>0</v>
      </c>
      <c r="AA40" s="188">
        <v>0</v>
      </c>
      <c r="AB40" s="188">
        <v>0</v>
      </c>
      <c r="AC40" s="188">
        <v>0</v>
      </c>
      <c r="AD40" s="188">
        <v>0</v>
      </c>
      <c r="AE40" s="188">
        <v>0</v>
      </c>
      <c r="AF40" s="188">
        <v>0</v>
      </c>
      <c r="AG40" s="188">
        <v>0</v>
      </c>
      <c r="AH40" s="188">
        <v>0</v>
      </c>
      <c r="AI40" s="188">
        <v>0</v>
      </c>
      <c r="AJ40" s="188">
        <v>0</v>
      </c>
      <c r="AK40" s="188">
        <v>0</v>
      </c>
      <c r="AL40" s="188">
        <v>0</v>
      </c>
      <c r="AM40" s="149">
        <v>-2250</v>
      </c>
      <c r="AN40" s="149">
        <v>-2250</v>
      </c>
      <c r="AO40" s="149">
        <v>-2250</v>
      </c>
      <c r="AP40" s="149">
        <v>-2250</v>
      </c>
      <c r="AQ40" s="149">
        <v>-2250</v>
      </c>
      <c r="AR40" s="149">
        <v>-2250</v>
      </c>
      <c r="AS40" s="149">
        <v>-2250</v>
      </c>
      <c r="AT40" s="32"/>
      <c r="AU40" s="69">
        <f t="shared" si="31"/>
        <v>-15750</v>
      </c>
      <c r="AV40" s="7"/>
      <c r="AW40" s="195"/>
      <c r="AX40" s="196"/>
      <c r="AY40" s="199"/>
    </row>
    <row r="41" spans="1:51" ht="15" customHeight="1" x14ac:dyDescent="0.25">
      <c r="B41" s="6">
        <v>5062</v>
      </c>
      <c r="C41" s="72" t="s">
        <v>40</v>
      </c>
      <c r="D41" s="71" t="s">
        <v>69</v>
      </c>
      <c r="E41" s="11"/>
      <c r="F41" s="209">
        <v>2250</v>
      </c>
      <c r="G41" s="210" t="s">
        <v>74</v>
      </c>
      <c r="H41" s="187">
        <v>0</v>
      </c>
      <c r="I41" s="188">
        <v>0</v>
      </c>
      <c r="J41" s="188">
        <v>0</v>
      </c>
      <c r="K41" s="188">
        <v>0</v>
      </c>
      <c r="L41" s="188">
        <v>0</v>
      </c>
      <c r="M41" s="188">
        <v>0</v>
      </c>
      <c r="N41" s="188">
        <v>0</v>
      </c>
      <c r="O41" s="188">
        <v>0</v>
      </c>
      <c r="P41" s="188">
        <v>0</v>
      </c>
      <c r="Q41" s="188">
        <v>0</v>
      </c>
      <c r="R41" s="188">
        <v>0</v>
      </c>
      <c r="S41" s="188">
        <v>0</v>
      </c>
      <c r="T41" s="188">
        <v>0</v>
      </c>
      <c r="U41" s="188">
        <v>0</v>
      </c>
      <c r="V41" s="188">
        <v>0</v>
      </c>
      <c r="W41" s="188">
        <v>0</v>
      </c>
      <c r="X41" s="188">
        <v>0</v>
      </c>
      <c r="Y41" s="188">
        <v>0</v>
      </c>
      <c r="Z41" s="188">
        <v>0</v>
      </c>
      <c r="AA41" s="188">
        <v>0</v>
      </c>
      <c r="AB41" s="188">
        <v>0</v>
      </c>
      <c r="AC41" s="188">
        <v>0</v>
      </c>
      <c r="AD41" s="188">
        <v>0</v>
      </c>
      <c r="AE41" s="188">
        <v>0</v>
      </c>
      <c r="AF41" s="188">
        <v>0</v>
      </c>
      <c r="AG41" s="188">
        <v>0</v>
      </c>
      <c r="AH41" s="188">
        <v>0</v>
      </c>
      <c r="AI41" s="188">
        <v>0</v>
      </c>
      <c r="AJ41" s="188">
        <v>0</v>
      </c>
      <c r="AK41" s="188">
        <v>0</v>
      </c>
      <c r="AL41" s="188">
        <v>0</v>
      </c>
      <c r="AM41" s="188">
        <v>0</v>
      </c>
      <c r="AN41" s="188">
        <v>0</v>
      </c>
      <c r="AO41" s="188">
        <v>0</v>
      </c>
      <c r="AP41" s="188">
        <v>0</v>
      </c>
      <c r="AQ41" s="188">
        <v>0</v>
      </c>
      <c r="AR41" s="188">
        <v>0</v>
      </c>
      <c r="AS41" s="188">
        <v>0</v>
      </c>
      <c r="AT41" s="32"/>
      <c r="AU41" s="69">
        <f t="shared" si="31"/>
        <v>0</v>
      </c>
      <c r="AV41" s="7"/>
      <c r="AW41" s="68"/>
      <c r="AX41" s="67"/>
    </row>
    <row r="42" spans="1:51" x14ac:dyDescent="0.25">
      <c r="C42" s="13"/>
      <c r="D42" s="208"/>
      <c r="E42" s="11"/>
      <c r="F42" s="14"/>
      <c r="G42" s="14"/>
      <c r="H42" s="156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28"/>
      <c r="AU42" s="27">
        <f t="shared" si="31"/>
        <v>0</v>
      </c>
      <c r="AV42" s="7"/>
      <c r="AW42" s="8"/>
      <c r="AX42" s="7"/>
    </row>
    <row r="43" spans="1:51" x14ac:dyDescent="0.25">
      <c r="C43" s="1"/>
      <c r="D43" s="12"/>
      <c r="E43" s="11"/>
      <c r="F43" s="13" t="s">
        <v>20</v>
      </c>
      <c r="G43" s="14"/>
      <c r="H43" s="39">
        <f t="shared" ref="H43:AD43" si="45">SUM(H36:H42)</f>
        <v>-18450</v>
      </c>
      <c r="I43" s="38">
        <f t="shared" si="45"/>
        <v>-18450</v>
      </c>
      <c r="J43" s="38">
        <f t="shared" si="45"/>
        <v>-17150</v>
      </c>
      <c r="K43" s="38">
        <f t="shared" si="45"/>
        <v>-17150</v>
      </c>
      <c r="L43" s="38">
        <f t="shared" si="45"/>
        <v>-17150</v>
      </c>
      <c r="M43" s="38">
        <f t="shared" si="45"/>
        <v>-17150</v>
      </c>
      <c r="N43" s="38">
        <f t="shared" si="45"/>
        <v>-17150</v>
      </c>
      <c r="O43" s="38">
        <f t="shared" si="45"/>
        <v>-17150</v>
      </c>
      <c r="P43" s="38">
        <f t="shared" si="45"/>
        <v>-17458.5</v>
      </c>
      <c r="Q43" s="38">
        <f t="shared" si="45"/>
        <v>-17458.5</v>
      </c>
      <c r="R43" s="38">
        <f t="shared" si="45"/>
        <v>-17201</v>
      </c>
      <c r="S43" s="38">
        <f t="shared" si="45"/>
        <v>-17201</v>
      </c>
      <c r="T43" s="38">
        <f t="shared" si="45"/>
        <v>-17201</v>
      </c>
      <c r="U43" s="38">
        <f t="shared" si="45"/>
        <v>-17201</v>
      </c>
      <c r="V43" s="38">
        <f t="shared" si="45"/>
        <v>-17201</v>
      </c>
      <c r="W43" s="38">
        <f t="shared" si="45"/>
        <v>-17201</v>
      </c>
      <c r="X43" s="38">
        <f t="shared" si="45"/>
        <v>-17201</v>
      </c>
      <c r="Y43" s="38">
        <f t="shared" si="45"/>
        <v>-15141</v>
      </c>
      <c r="Z43" s="38">
        <f t="shared" si="45"/>
        <v>-15141</v>
      </c>
      <c r="AA43" s="38">
        <f t="shared" si="45"/>
        <v>-14626</v>
      </c>
      <c r="AB43" s="38">
        <f t="shared" si="45"/>
        <v>-15002.5</v>
      </c>
      <c r="AC43" s="38">
        <f t="shared" si="45"/>
        <v>-14734</v>
      </c>
      <c r="AD43" s="38">
        <f t="shared" si="45"/>
        <v>-13409</v>
      </c>
      <c r="AE43" s="38">
        <f t="shared" ref="AE43:AS43" si="46">SUM(AE36:AE42)</f>
        <v>-13409</v>
      </c>
      <c r="AF43" s="38">
        <f t="shared" si="46"/>
        <v>-13409</v>
      </c>
      <c r="AG43" s="38">
        <f t="shared" si="46"/>
        <v>-13409</v>
      </c>
      <c r="AH43" s="38">
        <f t="shared" si="46"/>
        <v>-13409</v>
      </c>
      <c r="AI43" s="38">
        <f t="shared" si="46"/>
        <v>-13409</v>
      </c>
      <c r="AJ43" s="38">
        <f t="shared" si="46"/>
        <v>-13409</v>
      </c>
      <c r="AK43" s="38">
        <f t="shared" si="46"/>
        <v>-13409</v>
      </c>
      <c r="AL43" s="38">
        <f t="shared" si="46"/>
        <v>-13409</v>
      </c>
      <c r="AM43" s="38">
        <f t="shared" si="46"/>
        <v>-15659</v>
      </c>
      <c r="AN43" s="38">
        <f t="shared" si="46"/>
        <v>-16038.5</v>
      </c>
      <c r="AO43" s="38">
        <f t="shared" si="46"/>
        <v>-16038.5</v>
      </c>
      <c r="AP43" s="38">
        <f t="shared" si="46"/>
        <v>-16038.5</v>
      </c>
      <c r="AQ43" s="38">
        <f t="shared" si="46"/>
        <v>-16038.5</v>
      </c>
      <c r="AR43" s="38">
        <f t="shared" si="46"/>
        <v>-16038.5</v>
      </c>
      <c r="AS43" s="38">
        <f t="shared" si="46"/>
        <v>-16038.5</v>
      </c>
      <c r="AT43" s="38"/>
      <c r="AU43" s="37">
        <f>SUM(AU36:AU42)</f>
        <v>-602339.5</v>
      </c>
      <c r="AV43" s="7"/>
      <c r="AW43" s="8"/>
      <c r="AX43" s="7"/>
    </row>
    <row r="44" spans="1:51" s="56" customFormat="1" x14ac:dyDescent="0.25">
      <c r="E44" s="62"/>
      <c r="F44" s="61"/>
      <c r="G44" s="61"/>
      <c r="H44" s="66"/>
      <c r="I44" s="65"/>
      <c r="J44" s="65"/>
      <c r="K44" s="65"/>
      <c r="L44" s="65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4"/>
      <c r="AV44" s="59"/>
      <c r="AW44" s="58"/>
      <c r="AX44" s="57"/>
    </row>
    <row r="45" spans="1:51" s="56" customFormat="1" x14ac:dyDescent="0.25">
      <c r="B45" s="41">
        <v>5190</v>
      </c>
      <c r="C45" s="55" t="s">
        <v>19</v>
      </c>
      <c r="D45" s="63"/>
      <c r="E45" s="62"/>
      <c r="F45" s="61"/>
      <c r="G45" s="61"/>
      <c r="H45" s="211">
        <f>SUM(H36:H39)*0.317</f>
        <v>-5848.65</v>
      </c>
      <c r="I45" s="212">
        <f t="shared" ref="I45:O45" si="47">SUM(I36:I39)*0.317</f>
        <v>-5848.65</v>
      </c>
      <c r="J45" s="212">
        <f t="shared" si="47"/>
        <v>-5436.55</v>
      </c>
      <c r="K45" s="212">
        <f t="shared" si="47"/>
        <v>-5436.55</v>
      </c>
      <c r="L45" s="212">
        <f t="shared" si="47"/>
        <v>-5436.55</v>
      </c>
      <c r="M45" s="212">
        <f t="shared" si="47"/>
        <v>-5436.55</v>
      </c>
      <c r="N45" s="212">
        <f t="shared" si="47"/>
        <v>-5436.55</v>
      </c>
      <c r="O45" s="212">
        <f t="shared" si="47"/>
        <v>-5436.55</v>
      </c>
      <c r="P45" s="212">
        <f>SUM(P36:P39)*0.345</f>
        <v>-6023.1824999999999</v>
      </c>
      <c r="Q45" s="212">
        <f t="shared" ref="Q45:AD45" si="48">SUM(Q36:Q39)*0.345</f>
        <v>-6023.1824999999999</v>
      </c>
      <c r="R45" s="212">
        <f t="shared" si="48"/>
        <v>-5934.3449999999993</v>
      </c>
      <c r="S45" s="212">
        <f t="shared" si="48"/>
        <v>-5934.3449999999993</v>
      </c>
      <c r="T45" s="212">
        <f t="shared" si="48"/>
        <v>-5934.3449999999993</v>
      </c>
      <c r="U45" s="212">
        <f t="shared" si="48"/>
        <v>-5934.3449999999993</v>
      </c>
      <c r="V45" s="212">
        <f t="shared" si="48"/>
        <v>-5934.3449999999993</v>
      </c>
      <c r="W45" s="212">
        <f t="shared" si="48"/>
        <v>-5934.3449999999993</v>
      </c>
      <c r="X45" s="212">
        <f t="shared" si="48"/>
        <v>-5934.3449999999993</v>
      </c>
      <c r="Y45" s="212">
        <f t="shared" si="48"/>
        <v>-5223.6449999999995</v>
      </c>
      <c r="Z45" s="212">
        <f t="shared" si="48"/>
        <v>-5223.6449999999995</v>
      </c>
      <c r="AA45" s="212">
        <f t="shared" si="48"/>
        <v>-5045.9699999999993</v>
      </c>
      <c r="AB45" s="212">
        <f t="shared" si="48"/>
        <v>-5175.8624999999993</v>
      </c>
      <c r="AC45" s="212">
        <f t="shared" si="48"/>
        <v>-5083.2299999999996</v>
      </c>
      <c r="AD45" s="212">
        <f t="shared" si="48"/>
        <v>-4626.1049999999996</v>
      </c>
      <c r="AE45" s="212">
        <f t="shared" ref="AE45:AL45" si="49">SUM(AE36:AE39)*0.345</f>
        <v>-4626.1049999999996</v>
      </c>
      <c r="AF45" s="212">
        <f t="shared" si="49"/>
        <v>-4626.1049999999996</v>
      </c>
      <c r="AG45" s="212">
        <f t="shared" si="49"/>
        <v>-4626.1049999999996</v>
      </c>
      <c r="AH45" s="212">
        <f t="shared" si="49"/>
        <v>-4626.1049999999996</v>
      </c>
      <c r="AI45" s="212">
        <f t="shared" si="49"/>
        <v>-4626.1049999999996</v>
      </c>
      <c r="AJ45" s="212">
        <f t="shared" si="49"/>
        <v>-4626.1049999999996</v>
      </c>
      <c r="AK45" s="212">
        <f t="shared" si="49"/>
        <v>-4626.1049999999996</v>
      </c>
      <c r="AL45" s="212">
        <f t="shared" si="49"/>
        <v>-4626.1049999999996</v>
      </c>
      <c r="AM45" s="212">
        <f t="shared" ref="AM45:AS45" si="50">SUM(AM36:AM39)*0.345</f>
        <v>-4626.1049999999996</v>
      </c>
      <c r="AN45" s="212">
        <f t="shared" si="50"/>
        <v>-4757.0324999999993</v>
      </c>
      <c r="AO45" s="212">
        <f t="shared" si="50"/>
        <v>-4757.0324999999993</v>
      </c>
      <c r="AP45" s="212">
        <f t="shared" si="50"/>
        <v>-4757.0324999999993</v>
      </c>
      <c r="AQ45" s="212">
        <f t="shared" si="50"/>
        <v>-4757.0324999999993</v>
      </c>
      <c r="AR45" s="212">
        <f t="shared" si="50"/>
        <v>-4757.0324999999993</v>
      </c>
      <c r="AS45" s="212">
        <f t="shared" si="50"/>
        <v>-4757.0324999999993</v>
      </c>
      <c r="AT45" s="60"/>
      <c r="AU45" s="31">
        <f>SUM(H45:AT45)</f>
        <v>-198458.97750000012</v>
      </c>
      <c r="AV45" s="59"/>
      <c r="AW45" s="58"/>
      <c r="AX45" s="57"/>
    </row>
    <row r="46" spans="1:51" x14ac:dyDescent="0.25">
      <c r="B46" s="41">
        <v>5191</v>
      </c>
      <c r="C46" s="55" t="s">
        <v>18</v>
      </c>
      <c r="D46" s="54">
        <v>9.7000000000000003E-2</v>
      </c>
      <c r="E46" s="23"/>
      <c r="F46" s="22"/>
      <c r="G46" s="22"/>
      <c r="H46" s="156">
        <v>0</v>
      </c>
      <c r="I46" s="157">
        <v>0</v>
      </c>
      <c r="J46" s="157">
        <v>0</v>
      </c>
      <c r="K46" s="157">
        <v>0</v>
      </c>
      <c r="L46" s="157">
        <v>0</v>
      </c>
      <c r="M46" s="157">
        <v>0</v>
      </c>
      <c r="N46" s="157">
        <v>0</v>
      </c>
      <c r="O46" s="157">
        <v>0</v>
      </c>
      <c r="P46" s="157">
        <v>0</v>
      </c>
      <c r="Q46" s="157">
        <v>0</v>
      </c>
      <c r="R46" s="157">
        <v>0</v>
      </c>
      <c r="S46" s="157">
        <v>0</v>
      </c>
      <c r="T46" s="157">
        <v>0</v>
      </c>
      <c r="U46" s="157">
        <v>0</v>
      </c>
      <c r="V46" s="157">
        <v>0</v>
      </c>
      <c r="W46" s="157">
        <v>0</v>
      </c>
      <c r="X46" s="157">
        <v>0</v>
      </c>
      <c r="Y46" s="157">
        <v>0</v>
      </c>
      <c r="Z46" s="157">
        <v>0</v>
      </c>
      <c r="AA46" s="157">
        <v>0</v>
      </c>
      <c r="AB46" s="157">
        <v>0</v>
      </c>
      <c r="AC46" s="157">
        <v>0</v>
      </c>
      <c r="AD46" s="157">
        <v>0</v>
      </c>
      <c r="AE46" s="157">
        <v>0</v>
      </c>
      <c r="AF46" s="157">
        <v>0</v>
      </c>
      <c r="AG46" s="157">
        <v>0</v>
      </c>
      <c r="AH46" s="157">
        <v>0</v>
      </c>
      <c r="AI46" s="157">
        <v>0</v>
      </c>
      <c r="AJ46" s="157">
        <v>0</v>
      </c>
      <c r="AK46" s="157">
        <v>0</v>
      </c>
      <c r="AL46" s="157">
        <v>0</v>
      </c>
      <c r="AM46" s="157">
        <v>0</v>
      </c>
      <c r="AN46" s="157">
        <v>0</v>
      </c>
      <c r="AO46" s="157">
        <v>0</v>
      </c>
      <c r="AP46" s="157">
        <v>0</v>
      </c>
      <c r="AQ46" s="157">
        <v>0</v>
      </c>
      <c r="AR46" s="157">
        <v>0</v>
      </c>
      <c r="AS46" s="157">
        <v>0</v>
      </c>
      <c r="AT46" s="51"/>
      <c r="AU46" s="53">
        <f>SUM(H46:AT46)</f>
        <v>0</v>
      </c>
      <c r="AV46" s="19"/>
      <c r="AX46" s="19"/>
    </row>
    <row r="47" spans="1:51" x14ac:dyDescent="0.25">
      <c r="C47" s="1"/>
      <c r="D47" s="24"/>
      <c r="E47" s="11"/>
      <c r="F47" s="25" t="s">
        <v>17</v>
      </c>
      <c r="G47" s="14"/>
      <c r="H47" s="17">
        <f t="shared" ref="H47:AD47" si="51">SUM(H43:H46)</f>
        <v>-24298.65</v>
      </c>
      <c r="I47" s="17">
        <f t="shared" si="51"/>
        <v>-24298.65</v>
      </c>
      <c r="J47" s="17">
        <f t="shared" si="51"/>
        <v>-22586.55</v>
      </c>
      <c r="K47" s="17">
        <f t="shared" si="51"/>
        <v>-22586.55</v>
      </c>
      <c r="L47" s="17">
        <f t="shared" si="51"/>
        <v>-22586.55</v>
      </c>
      <c r="M47" s="17">
        <f t="shared" si="51"/>
        <v>-22586.55</v>
      </c>
      <c r="N47" s="17">
        <f t="shared" si="51"/>
        <v>-22586.55</v>
      </c>
      <c r="O47" s="17">
        <f t="shared" si="51"/>
        <v>-22586.55</v>
      </c>
      <c r="P47" s="17">
        <f t="shared" si="51"/>
        <v>-23481.682499999999</v>
      </c>
      <c r="Q47" s="17">
        <f t="shared" si="51"/>
        <v>-23481.682499999999</v>
      </c>
      <c r="R47" s="17">
        <f t="shared" si="51"/>
        <v>-23135.345000000001</v>
      </c>
      <c r="S47" s="17">
        <f t="shared" si="51"/>
        <v>-23135.345000000001</v>
      </c>
      <c r="T47" s="17">
        <f t="shared" si="51"/>
        <v>-23135.345000000001</v>
      </c>
      <c r="U47" s="17">
        <f t="shared" si="51"/>
        <v>-23135.345000000001</v>
      </c>
      <c r="V47" s="17">
        <f t="shared" si="51"/>
        <v>-23135.345000000001</v>
      </c>
      <c r="W47" s="17">
        <f t="shared" si="51"/>
        <v>-23135.345000000001</v>
      </c>
      <c r="X47" s="17">
        <f t="shared" si="51"/>
        <v>-23135.345000000001</v>
      </c>
      <c r="Y47" s="17">
        <f t="shared" si="51"/>
        <v>-20364.645</v>
      </c>
      <c r="Z47" s="17">
        <f t="shared" si="51"/>
        <v>-20364.645</v>
      </c>
      <c r="AA47" s="17">
        <f t="shared" si="51"/>
        <v>-19671.97</v>
      </c>
      <c r="AB47" s="17">
        <f t="shared" si="51"/>
        <v>-20178.362499999999</v>
      </c>
      <c r="AC47" s="17">
        <f t="shared" si="51"/>
        <v>-19817.23</v>
      </c>
      <c r="AD47" s="17">
        <f t="shared" si="51"/>
        <v>-18035.105</v>
      </c>
      <c r="AE47" s="17">
        <f t="shared" ref="AE47:AS47" si="52">SUM(AE43:AE46)</f>
        <v>-18035.105</v>
      </c>
      <c r="AF47" s="17">
        <f t="shared" si="52"/>
        <v>-18035.105</v>
      </c>
      <c r="AG47" s="17">
        <f t="shared" si="52"/>
        <v>-18035.105</v>
      </c>
      <c r="AH47" s="17">
        <f t="shared" si="52"/>
        <v>-18035.105</v>
      </c>
      <c r="AI47" s="17">
        <f t="shared" si="52"/>
        <v>-18035.105</v>
      </c>
      <c r="AJ47" s="17">
        <f t="shared" si="52"/>
        <v>-18035.105</v>
      </c>
      <c r="AK47" s="17">
        <f t="shared" si="52"/>
        <v>-18035.105</v>
      </c>
      <c r="AL47" s="17">
        <f t="shared" si="52"/>
        <v>-18035.105</v>
      </c>
      <c r="AM47" s="17">
        <f t="shared" si="52"/>
        <v>-20285.105</v>
      </c>
      <c r="AN47" s="17">
        <f t="shared" si="52"/>
        <v>-20795.532500000001</v>
      </c>
      <c r="AO47" s="17">
        <f t="shared" si="52"/>
        <v>-20795.532500000001</v>
      </c>
      <c r="AP47" s="17">
        <f t="shared" si="52"/>
        <v>-20795.532500000001</v>
      </c>
      <c r="AQ47" s="17">
        <f t="shared" si="52"/>
        <v>-20795.532500000001</v>
      </c>
      <c r="AR47" s="17">
        <f t="shared" si="52"/>
        <v>-20795.532500000001</v>
      </c>
      <c r="AS47" s="17">
        <f t="shared" si="52"/>
        <v>-20795.532500000001</v>
      </c>
      <c r="AT47" s="10"/>
      <c r="AU47" s="16">
        <f>SUM(AU43:AU46)</f>
        <v>-800798.47750000015</v>
      </c>
      <c r="AV47" s="7"/>
      <c r="AW47" s="8"/>
      <c r="AX47" s="7"/>
    </row>
    <row r="48" spans="1:51" x14ac:dyDescent="0.25">
      <c r="C48" s="13"/>
      <c r="D48" s="12"/>
      <c r="E48" s="11"/>
      <c r="F48" s="14"/>
      <c r="G48" s="14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9"/>
      <c r="AV48" s="7"/>
      <c r="AW48" s="149"/>
      <c r="AX48" s="7"/>
    </row>
    <row r="49" spans="1:50" x14ac:dyDescent="0.25">
      <c r="A49" s="52" t="s">
        <v>16</v>
      </c>
      <c r="B49" s="1"/>
      <c r="C49" s="25"/>
      <c r="D49" s="12"/>
      <c r="E49" s="11"/>
      <c r="F49" s="14"/>
      <c r="G49" s="14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9"/>
      <c r="AV49" s="7"/>
      <c r="AW49" s="86"/>
      <c r="AX49" s="50"/>
    </row>
    <row r="50" spans="1:50" x14ac:dyDescent="0.25">
      <c r="C50" s="25"/>
      <c r="D50" s="12"/>
      <c r="E50" s="11"/>
      <c r="F50" s="14"/>
      <c r="G50" s="14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9"/>
      <c r="AV50" s="7"/>
      <c r="AW50" s="149"/>
      <c r="AX50" s="7"/>
    </row>
    <row r="51" spans="1:50" hidden="1" x14ac:dyDescent="0.25">
      <c r="B51" s="47" t="s">
        <v>15</v>
      </c>
      <c r="C51" s="47"/>
      <c r="D51" s="45"/>
      <c r="E51" s="44"/>
      <c r="F51" s="43"/>
      <c r="G51" s="43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9"/>
      <c r="AV51" s="7"/>
      <c r="AW51" s="149"/>
      <c r="AX51" s="7"/>
    </row>
    <row r="52" spans="1:50" hidden="1" x14ac:dyDescent="0.25">
      <c r="C52" s="40" t="s">
        <v>61</v>
      </c>
      <c r="D52" s="12"/>
      <c r="E52" s="11"/>
      <c r="F52" s="14"/>
      <c r="G52" s="14"/>
      <c r="H52" s="155">
        <v>0</v>
      </c>
      <c r="I52" s="154">
        <v>0</v>
      </c>
      <c r="J52" s="154">
        <v>0</v>
      </c>
      <c r="K52" s="154">
        <v>0</v>
      </c>
      <c r="L52" s="154">
        <v>0</v>
      </c>
      <c r="M52" s="154">
        <v>0</v>
      </c>
      <c r="N52" s="154">
        <v>0</v>
      </c>
      <c r="O52" s="154">
        <v>0</v>
      </c>
      <c r="P52" s="154">
        <v>0</v>
      </c>
      <c r="Q52" s="154">
        <v>0</v>
      </c>
      <c r="R52" s="154">
        <v>0</v>
      </c>
      <c r="S52" s="154">
        <v>0</v>
      </c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7">
        <f>SUM(H52:AT52)</f>
        <v>0</v>
      </c>
      <c r="AV52" s="7"/>
      <c r="AW52" s="149"/>
      <c r="AX52" s="7"/>
    </row>
    <row r="53" spans="1:50" hidden="1" x14ac:dyDescent="0.25">
      <c r="C53" s="40" t="s">
        <v>61</v>
      </c>
      <c r="D53" s="12"/>
      <c r="E53" s="11"/>
      <c r="F53" s="14"/>
      <c r="G53" s="14"/>
      <c r="H53" s="156">
        <v>0</v>
      </c>
      <c r="I53" s="157">
        <v>0</v>
      </c>
      <c r="J53" s="157">
        <v>0</v>
      </c>
      <c r="K53" s="157">
        <v>0</v>
      </c>
      <c r="L53" s="157">
        <v>0</v>
      </c>
      <c r="M53" s="157">
        <v>0</v>
      </c>
      <c r="N53" s="157">
        <v>0</v>
      </c>
      <c r="O53" s="157">
        <v>0</v>
      </c>
      <c r="P53" s="157">
        <v>0</v>
      </c>
      <c r="Q53" s="157">
        <v>0</v>
      </c>
      <c r="R53" s="157">
        <v>0</v>
      </c>
      <c r="S53" s="157">
        <v>0</v>
      </c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7">
        <f>SUM(H53:AT53)</f>
        <v>0</v>
      </c>
      <c r="AV53" s="7"/>
      <c r="AW53" s="149"/>
      <c r="AX53" s="7"/>
    </row>
    <row r="54" spans="1:50" hidden="1" x14ac:dyDescent="0.25">
      <c r="C54" s="25"/>
      <c r="D54" s="24"/>
      <c r="E54" s="23"/>
      <c r="F54" s="36" t="s">
        <v>14</v>
      </c>
      <c r="G54" s="22"/>
      <c r="H54" s="10">
        <f t="shared" ref="H54:S54" si="53">SUM(H52:H53)</f>
        <v>0</v>
      </c>
      <c r="I54" s="10">
        <f t="shared" si="53"/>
        <v>0</v>
      </c>
      <c r="J54" s="10">
        <f t="shared" si="53"/>
        <v>0</v>
      </c>
      <c r="K54" s="10">
        <f t="shared" si="53"/>
        <v>0</v>
      </c>
      <c r="L54" s="10">
        <f t="shared" si="53"/>
        <v>0</v>
      </c>
      <c r="M54" s="10">
        <f t="shared" si="53"/>
        <v>0</v>
      </c>
      <c r="N54" s="10">
        <f t="shared" si="53"/>
        <v>0</v>
      </c>
      <c r="O54" s="10">
        <f t="shared" si="53"/>
        <v>0</v>
      </c>
      <c r="P54" s="10">
        <f t="shared" si="53"/>
        <v>0</v>
      </c>
      <c r="Q54" s="10">
        <f t="shared" si="53"/>
        <v>0</v>
      </c>
      <c r="R54" s="10">
        <f t="shared" si="53"/>
        <v>0</v>
      </c>
      <c r="S54" s="10">
        <f t="shared" si="53"/>
        <v>0</v>
      </c>
      <c r="T54" s="10">
        <f t="shared" ref="T54" si="54">SUM(T52:T53)</f>
        <v>0</v>
      </c>
      <c r="U54" s="10">
        <f t="shared" ref="U54" si="55">SUM(U52:U53)</f>
        <v>0</v>
      </c>
      <c r="V54" s="10">
        <f t="shared" ref="V54" si="56">SUM(V52:V53)</f>
        <v>0</v>
      </c>
      <c r="W54" s="10">
        <f t="shared" ref="W54" si="57">SUM(W52:W53)</f>
        <v>0</v>
      </c>
      <c r="X54" s="10">
        <f t="shared" ref="X54" si="58">SUM(X52:X53)</f>
        <v>0</v>
      </c>
      <c r="Y54" s="10">
        <f t="shared" ref="Y54" si="59">SUM(Y52:Y53)</f>
        <v>0</v>
      </c>
      <c r="Z54" s="10">
        <f t="shared" ref="Z54" si="60">SUM(Z52:Z53)</f>
        <v>0</v>
      </c>
      <c r="AA54" s="10">
        <f t="shared" ref="AA54" si="61">SUM(AA52:AA53)</f>
        <v>0</v>
      </c>
      <c r="AB54" s="10">
        <f t="shared" ref="AB54" si="62">SUM(AB52:AB53)</f>
        <v>0</v>
      </c>
      <c r="AC54" s="10">
        <f t="shared" ref="AC54" si="63">SUM(AC52:AC53)</f>
        <v>0</v>
      </c>
      <c r="AD54" s="10">
        <f t="shared" ref="AD54:AS54" si="64">SUM(AD52:AD53)</f>
        <v>0</v>
      </c>
      <c r="AE54" s="10">
        <f t="shared" si="64"/>
        <v>0</v>
      </c>
      <c r="AF54" s="10">
        <f t="shared" si="64"/>
        <v>0</v>
      </c>
      <c r="AG54" s="10">
        <f t="shared" si="64"/>
        <v>0</v>
      </c>
      <c r="AH54" s="10">
        <f t="shared" si="64"/>
        <v>0</v>
      </c>
      <c r="AI54" s="10">
        <f t="shared" si="64"/>
        <v>0</v>
      </c>
      <c r="AJ54" s="10">
        <f t="shared" si="64"/>
        <v>0</v>
      </c>
      <c r="AK54" s="10">
        <f t="shared" si="64"/>
        <v>0</v>
      </c>
      <c r="AL54" s="10">
        <f t="shared" si="64"/>
        <v>0</v>
      </c>
      <c r="AM54" s="10"/>
      <c r="AN54" s="10"/>
      <c r="AO54" s="10"/>
      <c r="AP54" s="10"/>
      <c r="AQ54" s="10"/>
      <c r="AR54" s="10"/>
      <c r="AS54" s="10">
        <f t="shared" si="64"/>
        <v>0</v>
      </c>
      <c r="AT54" s="10"/>
      <c r="AU54" s="48">
        <f>SUM(AU52:AU53)</f>
        <v>0</v>
      </c>
      <c r="AV54" s="19"/>
      <c r="AW54" s="150"/>
      <c r="AX54" s="19"/>
    </row>
    <row r="55" spans="1:50" hidden="1" x14ac:dyDescent="0.25">
      <c r="C55" s="25"/>
      <c r="D55" s="24"/>
      <c r="E55" s="23"/>
      <c r="F55" s="36"/>
      <c r="G55" s="22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26"/>
      <c r="AV55" s="19"/>
      <c r="AW55" s="150"/>
      <c r="AX55" s="19"/>
    </row>
    <row r="56" spans="1:50" hidden="1" x14ac:dyDescent="0.25">
      <c r="C56" s="25"/>
      <c r="D56" s="24"/>
      <c r="E56" s="23"/>
      <c r="F56" s="22"/>
      <c r="G56" s="22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21"/>
      <c r="AV56" s="19"/>
      <c r="AW56" s="150"/>
      <c r="AX56" s="19"/>
    </row>
    <row r="57" spans="1:50" hidden="1" x14ac:dyDescent="0.25">
      <c r="B57" s="47" t="s">
        <v>13</v>
      </c>
      <c r="C57" s="47"/>
      <c r="D57" s="45"/>
      <c r="E57" s="44"/>
      <c r="F57" s="43"/>
      <c r="G57" s="43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9"/>
      <c r="AV57" s="7"/>
      <c r="AW57" s="149"/>
      <c r="AX57" s="7"/>
    </row>
    <row r="58" spans="1:50" hidden="1" x14ac:dyDescent="0.25">
      <c r="B58" s="6">
        <v>1872</v>
      </c>
      <c r="C58" s="40" t="s">
        <v>60</v>
      </c>
      <c r="D58" s="12"/>
      <c r="E58" s="11"/>
      <c r="F58" s="14"/>
      <c r="G58" s="14"/>
      <c r="H58" s="155">
        <v>0</v>
      </c>
      <c r="I58" s="154">
        <v>0</v>
      </c>
      <c r="J58" s="154">
        <v>0</v>
      </c>
      <c r="K58" s="154">
        <v>0</v>
      </c>
      <c r="L58" s="154">
        <v>0</v>
      </c>
      <c r="M58" s="154">
        <v>0</v>
      </c>
      <c r="N58" s="154">
        <v>0</v>
      </c>
      <c r="O58" s="154">
        <v>0</v>
      </c>
      <c r="P58" s="154">
        <v>0</v>
      </c>
      <c r="Q58" s="154">
        <v>0</v>
      </c>
      <c r="R58" s="154">
        <v>0</v>
      </c>
      <c r="S58" s="154">
        <v>0</v>
      </c>
      <c r="T58" s="154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7">
        <f>SUM(H58:AT58)</f>
        <v>0</v>
      </c>
      <c r="AV58" s="7"/>
      <c r="AW58" s="149"/>
      <c r="AX58" s="7"/>
    </row>
    <row r="59" spans="1:50" hidden="1" x14ac:dyDescent="0.25">
      <c r="C59" s="40" t="s">
        <v>60</v>
      </c>
      <c r="D59" s="12"/>
      <c r="E59" s="11"/>
      <c r="F59" s="14"/>
      <c r="G59" s="14"/>
      <c r="H59" s="156">
        <v>0</v>
      </c>
      <c r="I59" s="157">
        <v>0</v>
      </c>
      <c r="J59" s="157">
        <v>0</v>
      </c>
      <c r="K59" s="157">
        <v>0</v>
      </c>
      <c r="L59" s="157">
        <v>0</v>
      </c>
      <c r="M59" s="157">
        <v>0</v>
      </c>
      <c r="N59" s="157">
        <v>0</v>
      </c>
      <c r="O59" s="157">
        <v>0</v>
      </c>
      <c r="P59" s="157">
        <v>0</v>
      </c>
      <c r="Q59" s="157">
        <v>0</v>
      </c>
      <c r="R59" s="157">
        <v>0</v>
      </c>
      <c r="S59" s="157">
        <v>0</v>
      </c>
      <c r="T59" s="157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7">
        <f>SUM(H59:AT59)</f>
        <v>0</v>
      </c>
      <c r="AV59" s="7"/>
      <c r="AW59" s="149"/>
      <c r="AX59" s="7"/>
    </row>
    <row r="60" spans="1:50" hidden="1" x14ac:dyDescent="0.25">
      <c r="C60" s="25"/>
      <c r="D60" s="24"/>
      <c r="E60" s="23"/>
      <c r="F60" s="36" t="s">
        <v>12</v>
      </c>
      <c r="G60" s="22"/>
      <c r="H60" s="10">
        <f t="shared" ref="H60:S60" si="65">SUM(H58:H59)</f>
        <v>0</v>
      </c>
      <c r="I60" s="10">
        <f t="shared" si="65"/>
        <v>0</v>
      </c>
      <c r="J60" s="10">
        <f t="shared" si="65"/>
        <v>0</v>
      </c>
      <c r="K60" s="10">
        <f t="shared" si="65"/>
        <v>0</v>
      </c>
      <c r="L60" s="10">
        <f t="shared" si="65"/>
        <v>0</v>
      </c>
      <c r="M60" s="10">
        <f t="shared" si="65"/>
        <v>0</v>
      </c>
      <c r="N60" s="10">
        <f t="shared" si="65"/>
        <v>0</v>
      </c>
      <c r="O60" s="10">
        <f t="shared" si="65"/>
        <v>0</v>
      </c>
      <c r="P60" s="10">
        <f t="shared" si="65"/>
        <v>0</v>
      </c>
      <c r="Q60" s="10">
        <f t="shared" si="65"/>
        <v>0</v>
      </c>
      <c r="R60" s="10">
        <f t="shared" si="65"/>
        <v>0</v>
      </c>
      <c r="S60" s="10">
        <f t="shared" si="65"/>
        <v>0</v>
      </c>
      <c r="T60" s="10">
        <f t="shared" ref="T60" si="66">SUM(T58:T59)</f>
        <v>0</v>
      </c>
      <c r="U60" s="10">
        <f t="shared" ref="U60" si="67">SUM(U58:U59)</f>
        <v>0</v>
      </c>
      <c r="V60" s="10">
        <f t="shared" ref="V60" si="68">SUM(V58:V59)</f>
        <v>0</v>
      </c>
      <c r="W60" s="10">
        <f t="shared" ref="W60" si="69">SUM(W58:W59)</f>
        <v>0</v>
      </c>
      <c r="X60" s="10">
        <f t="shared" ref="X60" si="70">SUM(X58:X59)</f>
        <v>0</v>
      </c>
      <c r="Y60" s="10">
        <f t="shared" ref="Y60" si="71">SUM(Y58:Y59)</f>
        <v>0</v>
      </c>
      <c r="Z60" s="10">
        <f t="shared" ref="Z60" si="72">SUM(Z58:Z59)</f>
        <v>0</v>
      </c>
      <c r="AA60" s="10">
        <f t="shared" ref="AA60" si="73">SUM(AA58:AA59)</f>
        <v>0</v>
      </c>
      <c r="AB60" s="10">
        <f t="shared" ref="AB60" si="74">SUM(AB58:AB59)</f>
        <v>0</v>
      </c>
      <c r="AC60" s="10">
        <f t="shared" ref="AC60" si="75">SUM(AC58:AC59)</f>
        <v>0</v>
      </c>
      <c r="AD60" s="10">
        <f t="shared" ref="AD60:AS60" si="76">SUM(AD58:AD59)</f>
        <v>0</v>
      </c>
      <c r="AE60" s="10">
        <f t="shared" si="76"/>
        <v>0</v>
      </c>
      <c r="AF60" s="10">
        <f t="shared" si="76"/>
        <v>0</v>
      </c>
      <c r="AG60" s="10">
        <f t="shared" si="76"/>
        <v>0</v>
      </c>
      <c r="AH60" s="10">
        <f t="shared" si="76"/>
        <v>0</v>
      </c>
      <c r="AI60" s="10">
        <f t="shared" si="76"/>
        <v>0</v>
      </c>
      <c r="AJ60" s="10">
        <f t="shared" si="76"/>
        <v>0</v>
      </c>
      <c r="AK60" s="10">
        <f t="shared" si="76"/>
        <v>0</v>
      </c>
      <c r="AL60" s="10">
        <f t="shared" si="76"/>
        <v>0</v>
      </c>
      <c r="AM60" s="10"/>
      <c r="AN60" s="10"/>
      <c r="AO60" s="10"/>
      <c r="AP60" s="10"/>
      <c r="AQ60" s="10"/>
      <c r="AR60" s="10"/>
      <c r="AS60" s="10">
        <f t="shared" si="76"/>
        <v>0</v>
      </c>
      <c r="AT60" s="10"/>
      <c r="AU60" s="48">
        <f>SUM(AU58:AU59)</f>
        <v>0</v>
      </c>
      <c r="AV60" s="19"/>
      <c r="AW60" s="150"/>
      <c r="AX60" s="19"/>
    </row>
    <row r="61" spans="1:50" hidden="1" x14ac:dyDescent="0.25">
      <c r="C61" s="25"/>
      <c r="D61" s="24"/>
      <c r="E61" s="23"/>
      <c r="F61" s="36"/>
      <c r="G61" s="22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26"/>
      <c r="AV61" s="19"/>
      <c r="AW61" s="150"/>
      <c r="AX61" s="19"/>
    </row>
    <row r="62" spans="1:50" hidden="1" x14ac:dyDescent="0.25">
      <c r="C62" s="25"/>
      <c r="D62" s="24"/>
      <c r="E62" s="23"/>
      <c r="F62" s="22"/>
      <c r="G62" s="22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21"/>
      <c r="AV62" s="19"/>
      <c r="AW62" s="150"/>
      <c r="AX62" s="19"/>
    </row>
    <row r="63" spans="1:50" x14ac:dyDescent="0.25">
      <c r="B63" s="47" t="s">
        <v>11</v>
      </c>
      <c r="C63" s="47"/>
      <c r="D63" s="45"/>
      <c r="E63" s="44"/>
      <c r="F63" s="43"/>
      <c r="G63" s="43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9"/>
      <c r="AV63" s="7"/>
      <c r="AW63" s="149"/>
      <c r="AX63" s="7"/>
    </row>
    <row r="64" spans="1:50" x14ac:dyDescent="0.25">
      <c r="B64" s="6">
        <v>5228</v>
      </c>
      <c r="C64" s="191" t="s">
        <v>72</v>
      </c>
      <c r="D64" s="12"/>
      <c r="E64" s="11"/>
      <c r="F64" s="14"/>
      <c r="G64" s="14"/>
      <c r="H64" s="213">
        <v>-12063</v>
      </c>
      <c r="I64" s="214">
        <f>H64*1.03</f>
        <v>-12424.89</v>
      </c>
      <c r="J64" s="214">
        <f t="shared" ref="J64:AD64" si="77">I64*1.03</f>
        <v>-12797.636699999999</v>
      </c>
      <c r="K64" s="214">
        <f t="shared" si="77"/>
        <v>-13181.565800999999</v>
      </c>
      <c r="L64" s="214">
        <f t="shared" si="77"/>
        <v>-13577.01277503</v>
      </c>
      <c r="M64" s="214">
        <f t="shared" si="77"/>
        <v>-13984.3231582809</v>
      </c>
      <c r="N64" s="214">
        <f t="shared" si="77"/>
        <v>-14403.852853029328</v>
      </c>
      <c r="O64" s="214">
        <f t="shared" si="77"/>
        <v>-14835.968438620208</v>
      </c>
      <c r="P64" s="214">
        <f t="shared" si="77"/>
        <v>-15281.047491778814</v>
      </c>
      <c r="Q64" s="214">
        <f t="shared" si="77"/>
        <v>-15739.47891653218</v>
      </c>
      <c r="R64" s="214">
        <f t="shared" si="77"/>
        <v>-16211.663284028145</v>
      </c>
      <c r="S64" s="214">
        <f t="shared" si="77"/>
        <v>-16698.013182548992</v>
      </c>
      <c r="T64" s="214">
        <f t="shared" si="77"/>
        <v>-17198.953578025463</v>
      </c>
      <c r="U64" s="214">
        <f t="shared" si="77"/>
        <v>-17714.922185366227</v>
      </c>
      <c r="V64" s="214">
        <f t="shared" si="77"/>
        <v>-18246.369850927214</v>
      </c>
      <c r="W64" s="214">
        <f t="shared" si="77"/>
        <v>-18793.76094645503</v>
      </c>
      <c r="X64" s="214">
        <f t="shared" si="77"/>
        <v>-19357.573774848683</v>
      </c>
      <c r="Y64" s="214">
        <f t="shared" si="77"/>
        <v>-19938.300988094143</v>
      </c>
      <c r="Z64" s="214">
        <f t="shared" si="77"/>
        <v>-20536.450017736966</v>
      </c>
      <c r="AA64" s="214">
        <f t="shared" si="77"/>
        <v>-21152.543518269074</v>
      </c>
      <c r="AB64" s="214">
        <f t="shared" si="77"/>
        <v>-21787.119823817146</v>
      </c>
      <c r="AC64" s="214">
        <f t="shared" si="77"/>
        <v>-22440.733418531661</v>
      </c>
      <c r="AD64" s="214">
        <f t="shared" si="77"/>
        <v>-23113.955421087612</v>
      </c>
      <c r="AE64" s="214">
        <f t="shared" ref="AE64:AL64" si="78">AD64*1.03</f>
        <v>-23807.374083720242</v>
      </c>
      <c r="AF64" s="214">
        <f t="shared" si="78"/>
        <v>-24521.595306231851</v>
      </c>
      <c r="AG64" s="214">
        <f t="shared" si="78"/>
        <v>-25257.243165418808</v>
      </c>
      <c r="AH64" s="214">
        <f t="shared" si="78"/>
        <v>-26014.960460381371</v>
      </c>
      <c r="AI64" s="214">
        <f t="shared" si="78"/>
        <v>-26795.409274192814</v>
      </c>
      <c r="AJ64" s="214">
        <f t="shared" si="78"/>
        <v>-27599.271552418599</v>
      </c>
      <c r="AK64" s="214">
        <f t="shared" si="78"/>
        <v>-28427.249698991156</v>
      </c>
      <c r="AL64" s="214">
        <f t="shared" si="78"/>
        <v>-29280.06718996089</v>
      </c>
      <c r="AM64" s="214">
        <f t="shared" ref="AM64:AS64" si="79">AL64*1.03</f>
        <v>-30158.469205659716</v>
      </c>
      <c r="AN64" s="214">
        <f t="shared" si="79"/>
        <v>-31063.223281829509</v>
      </c>
      <c r="AO64" s="214">
        <f t="shared" si="79"/>
        <v>-31995.119980284395</v>
      </c>
      <c r="AP64" s="214">
        <f t="shared" si="79"/>
        <v>-32954.973579692931</v>
      </c>
      <c r="AQ64" s="214">
        <f t="shared" si="79"/>
        <v>-33943.622787083717</v>
      </c>
      <c r="AR64" s="214">
        <f t="shared" si="79"/>
        <v>-34961.931470696232</v>
      </c>
      <c r="AS64" s="214">
        <f t="shared" si="79"/>
        <v>-36010.789414817118</v>
      </c>
      <c r="AT64" s="38"/>
      <c r="AU64" s="37">
        <f>SUM(H64:AT64)</f>
        <v>-834270.43657538714</v>
      </c>
      <c r="AV64" s="7"/>
      <c r="AW64" s="189"/>
      <c r="AX64" s="7"/>
    </row>
    <row r="65" spans="2:50" hidden="1" x14ac:dyDescent="0.25">
      <c r="B65" s="6">
        <v>5228</v>
      </c>
      <c r="C65" s="49" t="s">
        <v>48</v>
      </c>
      <c r="D65" s="12"/>
      <c r="E65" s="11"/>
      <c r="F65" s="14"/>
      <c r="G65" s="14"/>
      <c r="H65" s="148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32"/>
      <c r="AU65" s="31">
        <f>SUM(H65:AT65)</f>
        <v>0</v>
      </c>
      <c r="AV65" s="7"/>
      <c r="AW65" s="189"/>
      <c r="AX65" s="7"/>
    </row>
    <row r="66" spans="2:50" hidden="1" x14ac:dyDescent="0.25">
      <c r="C66" s="49" t="s">
        <v>49</v>
      </c>
      <c r="D66" s="12"/>
      <c r="E66" s="11"/>
      <c r="F66" s="14"/>
      <c r="G66" s="14"/>
      <c r="H66" s="148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32"/>
      <c r="AU66" s="31">
        <f>SUM(H66:AT66)</f>
        <v>0</v>
      </c>
      <c r="AV66" s="7"/>
      <c r="AW66" s="189"/>
      <c r="AX66" s="7"/>
    </row>
    <row r="67" spans="2:50" hidden="1" x14ac:dyDescent="0.25">
      <c r="C67" s="49" t="s">
        <v>10</v>
      </c>
      <c r="D67" s="12"/>
      <c r="E67" s="11"/>
      <c r="F67" s="14"/>
      <c r="G67" s="14"/>
      <c r="H67" s="156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7"/>
      <c r="AP67" s="157"/>
      <c r="AQ67" s="157"/>
      <c r="AR67" s="157"/>
      <c r="AS67" s="157"/>
      <c r="AT67" s="28"/>
      <c r="AU67" s="27">
        <f>SUM(H67:AT67)</f>
        <v>0</v>
      </c>
      <c r="AV67" s="7"/>
      <c r="AW67" s="189"/>
      <c r="AX67" s="7"/>
    </row>
    <row r="68" spans="2:50" hidden="1" x14ac:dyDescent="0.25">
      <c r="C68" s="49" t="s">
        <v>10</v>
      </c>
      <c r="D68" s="12"/>
      <c r="E68" s="11"/>
      <c r="F68" s="14"/>
      <c r="G68" s="14"/>
      <c r="H68" s="29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7">
        <f>SUM(H68:AT68)</f>
        <v>0</v>
      </c>
      <c r="AV68" s="7"/>
      <c r="AW68" s="189"/>
      <c r="AX68" s="7"/>
    </row>
    <row r="69" spans="2:50" x14ac:dyDescent="0.25">
      <c r="D69" s="24"/>
      <c r="E69" s="23"/>
      <c r="F69" s="13" t="s">
        <v>9</v>
      </c>
      <c r="G69" s="22"/>
      <c r="H69" s="38">
        <f t="shared" ref="H69:AD69" si="80">SUM(H64:H68)</f>
        <v>-12063</v>
      </c>
      <c r="I69" s="38">
        <f t="shared" si="80"/>
        <v>-12424.89</v>
      </c>
      <c r="J69" s="38">
        <f t="shared" si="80"/>
        <v>-12797.636699999999</v>
      </c>
      <c r="K69" s="38">
        <f t="shared" si="80"/>
        <v>-13181.565800999999</v>
      </c>
      <c r="L69" s="38">
        <f t="shared" si="80"/>
        <v>-13577.01277503</v>
      </c>
      <c r="M69" s="38">
        <f t="shared" si="80"/>
        <v>-13984.3231582809</v>
      </c>
      <c r="N69" s="38">
        <f t="shared" si="80"/>
        <v>-14403.852853029328</v>
      </c>
      <c r="O69" s="38">
        <f t="shared" si="80"/>
        <v>-14835.968438620208</v>
      </c>
      <c r="P69" s="38">
        <f t="shared" si="80"/>
        <v>-15281.047491778814</v>
      </c>
      <c r="Q69" s="38">
        <f t="shared" si="80"/>
        <v>-15739.47891653218</v>
      </c>
      <c r="R69" s="38">
        <f t="shared" si="80"/>
        <v>-16211.663284028145</v>
      </c>
      <c r="S69" s="38">
        <f t="shared" si="80"/>
        <v>-16698.013182548992</v>
      </c>
      <c r="T69" s="38">
        <f t="shared" si="80"/>
        <v>-17198.953578025463</v>
      </c>
      <c r="U69" s="38">
        <f t="shared" si="80"/>
        <v>-17714.922185366227</v>
      </c>
      <c r="V69" s="38">
        <f t="shared" si="80"/>
        <v>-18246.369850927214</v>
      </c>
      <c r="W69" s="38">
        <f t="shared" si="80"/>
        <v>-18793.76094645503</v>
      </c>
      <c r="X69" s="38">
        <f t="shared" si="80"/>
        <v>-19357.573774848683</v>
      </c>
      <c r="Y69" s="38">
        <f t="shared" si="80"/>
        <v>-19938.300988094143</v>
      </c>
      <c r="Z69" s="38">
        <f t="shared" si="80"/>
        <v>-20536.450017736966</v>
      </c>
      <c r="AA69" s="38">
        <f t="shared" si="80"/>
        <v>-21152.543518269074</v>
      </c>
      <c r="AB69" s="38">
        <f t="shared" si="80"/>
        <v>-21787.119823817146</v>
      </c>
      <c r="AC69" s="38">
        <f t="shared" si="80"/>
        <v>-22440.733418531661</v>
      </c>
      <c r="AD69" s="38">
        <f t="shared" si="80"/>
        <v>-23113.955421087612</v>
      </c>
      <c r="AE69" s="38">
        <f t="shared" ref="AE69:AL69" si="81">SUM(AE64:AE68)</f>
        <v>-23807.374083720242</v>
      </c>
      <c r="AF69" s="38">
        <f t="shared" si="81"/>
        <v>-24521.595306231851</v>
      </c>
      <c r="AG69" s="38">
        <f t="shared" si="81"/>
        <v>-25257.243165418808</v>
      </c>
      <c r="AH69" s="38">
        <f t="shared" si="81"/>
        <v>-26014.960460381371</v>
      </c>
      <c r="AI69" s="38">
        <f t="shared" si="81"/>
        <v>-26795.409274192814</v>
      </c>
      <c r="AJ69" s="38">
        <f t="shared" si="81"/>
        <v>-27599.271552418599</v>
      </c>
      <c r="AK69" s="38">
        <f t="shared" si="81"/>
        <v>-28427.249698991156</v>
      </c>
      <c r="AL69" s="38">
        <f t="shared" si="81"/>
        <v>-29280.06718996089</v>
      </c>
      <c r="AM69" s="38">
        <f t="shared" ref="AM69:AS69" si="82">SUM(AM64:AM68)</f>
        <v>-30158.469205659716</v>
      </c>
      <c r="AN69" s="38">
        <f t="shared" si="82"/>
        <v>-31063.223281829509</v>
      </c>
      <c r="AO69" s="38">
        <f t="shared" si="82"/>
        <v>-31995.119980284395</v>
      </c>
      <c r="AP69" s="38">
        <f t="shared" si="82"/>
        <v>-32954.973579692931</v>
      </c>
      <c r="AQ69" s="38">
        <f t="shared" si="82"/>
        <v>-33943.622787083717</v>
      </c>
      <c r="AR69" s="38">
        <f t="shared" si="82"/>
        <v>-34961.931470696232</v>
      </c>
      <c r="AS69" s="38">
        <f t="shared" si="82"/>
        <v>-36010.789414817118</v>
      </c>
      <c r="AT69" s="38"/>
      <c r="AU69" s="48">
        <f>SUM(AU64:AU68)</f>
        <v>-834270.43657538714</v>
      </c>
      <c r="AV69" s="19"/>
      <c r="AW69" s="190"/>
      <c r="AX69" s="19"/>
    </row>
    <row r="70" spans="2:50" x14ac:dyDescent="0.25">
      <c r="D70" s="24"/>
      <c r="E70" s="23"/>
      <c r="F70" s="13"/>
      <c r="G70" s="2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26"/>
      <c r="AV70" s="19"/>
      <c r="AW70" s="190"/>
      <c r="AX70" s="19"/>
    </row>
    <row r="71" spans="2:50" x14ac:dyDescent="0.25">
      <c r="C71" s="13"/>
      <c r="D71" s="12"/>
      <c r="E71" s="11"/>
      <c r="F71" s="14"/>
      <c r="G71" s="14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9"/>
      <c r="AV71" s="7"/>
      <c r="AW71" s="189"/>
      <c r="AX71" s="7"/>
    </row>
    <row r="72" spans="2:50" hidden="1" x14ac:dyDescent="0.25">
      <c r="B72" s="47" t="s">
        <v>8</v>
      </c>
      <c r="C72" s="46"/>
      <c r="D72" s="45"/>
      <c r="E72" s="44"/>
      <c r="F72" s="43"/>
      <c r="G72" s="43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28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9"/>
      <c r="AV72" s="7"/>
      <c r="AW72" s="189"/>
      <c r="AX72" s="7"/>
    </row>
    <row r="73" spans="2:50" hidden="1" x14ac:dyDescent="0.25">
      <c r="B73" s="6">
        <v>5200</v>
      </c>
      <c r="C73" s="40" t="s">
        <v>50</v>
      </c>
      <c r="D73" s="12" t="s">
        <v>7</v>
      </c>
      <c r="E73" s="11"/>
      <c r="F73" s="14"/>
      <c r="G73" s="14"/>
      <c r="H73" s="155">
        <v>0</v>
      </c>
      <c r="I73" s="154">
        <v>0</v>
      </c>
      <c r="J73" s="154">
        <v>0</v>
      </c>
      <c r="K73" s="154">
        <v>0</v>
      </c>
      <c r="L73" s="154">
        <v>0</v>
      </c>
      <c r="M73" s="154">
        <v>0</v>
      </c>
      <c r="N73" s="154">
        <v>0</v>
      </c>
      <c r="O73" s="154">
        <v>0</v>
      </c>
      <c r="P73" s="154">
        <v>0</v>
      </c>
      <c r="Q73" s="154">
        <v>0</v>
      </c>
      <c r="R73" s="154">
        <v>0</v>
      </c>
      <c r="S73" s="154">
        <v>0</v>
      </c>
      <c r="T73" s="154">
        <v>0</v>
      </c>
      <c r="U73" s="154">
        <v>0</v>
      </c>
      <c r="V73" s="154">
        <v>0</v>
      </c>
      <c r="W73" s="154">
        <v>0</v>
      </c>
      <c r="X73" s="154">
        <v>0</v>
      </c>
      <c r="Y73" s="154">
        <v>0</v>
      </c>
      <c r="Z73" s="154">
        <v>0</v>
      </c>
      <c r="AA73" s="154">
        <v>0</v>
      </c>
      <c r="AB73" s="154">
        <v>0</v>
      </c>
      <c r="AC73" s="154">
        <v>0</v>
      </c>
      <c r="AD73" s="154">
        <v>0</v>
      </c>
      <c r="AE73" s="154">
        <v>0</v>
      </c>
      <c r="AF73" s="154">
        <v>0</v>
      </c>
      <c r="AG73" s="154">
        <v>0</v>
      </c>
      <c r="AH73" s="154">
        <v>0</v>
      </c>
      <c r="AI73" s="154">
        <v>0</v>
      </c>
      <c r="AJ73" s="154">
        <v>0</v>
      </c>
      <c r="AK73" s="154">
        <v>0</v>
      </c>
      <c r="AL73" s="154">
        <v>0</v>
      </c>
      <c r="AM73" s="154"/>
      <c r="AN73" s="154"/>
      <c r="AO73" s="154"/>
      <c r="AP73" s="154"/>
      <c r="AQ73" s="154"/>
      <c r="AR73" s="154"/>
      <c r="AS73" s="154"/>
      <c r="AT73" s="38"/>
      <c r="AU73" s="37">
        <f>SUM(H73:AT73)</f>
        <v>0</v>
      </c>
      <c r="AV73" s="7"/>
      <c r="AW73" s="189"/>
      <c r="AX73" s="7"/>
    </row>
    <row r="74" spans="2:50" hidden="1" x14ac:dyDescent="0.25">
      <c r="C74" s="13"/>
      <c r="D74" s="12"/>
      <c r="E74" s="11"/>
      <c r="F74" s="14"/>
      <c r="G74" s="14"/>
      <c r="H74" s="29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7">
        <f>SUM(H74:AT74)</f>
        <v>0</v>
      </c>
      <c r="AV74" s="7"/>
      <c r="AW74" s="189"/>
      <c r="AX74" s="7"/>
    </row>
    <row r="75" spans="2:50" hidden="1" x14ac:dyDescent="0.25">
      <c r="C75" s="25"/>
      <c r="D75" s="24"/>
      <c r="E75" s="23"/>
      <c r="F75" s="36" t="s">
        <v>6</v>
      </c>
      <c r="G75" s="22"/>
      <c r="H75" s="10">
        <f t="shared" ref="H75:AD75" si="83">SUM(H73:H74)</f>
        <v>0</v>
      </c>
      <c r="I75" s="10">
        <f t="shared" si="83"/>
        <v>0</v>
      </c>
      <c r="J75" s="10">
        <f t="shared" si="83"/>
        <v>0</v>
      </c>
      <c r="K75" s="10">
        <f t="shared" si="83"/>
        <v>0</v>
      </c>
      <c r="L75" s="10">
        <f t="shared" si="83"/>
        <v>0</v>
      </c>
      <c r="M75" s="10">
        <f t="shared" si="83"/>
        <v>0</v>
      </c>
      <c r="N75" s="10">
        <f t="shared" si="83"/>
        <v>0</v>
      </c>
      <c r="O75" s="10">
        <f t="shared" si="83"/>
        <v>0</v>
      </c>
      <c r="P75" s="10">
        <f t="shared" si="83"/>
        <v>0</v>
      </c>
      <c r="Q75" s="10">
        <f t="shared" si="83"/>
        <v>0</v>
      </c>
      <c r="R75" s="10">
        <f t="shared" si="83"/>
        <v>0</v>
      </c>
      <c r="S75" s="10">
        <f t="shared" si="83"/>
        <v>0</v>
      </c>
      <c r="T75" s="10">
        <f t="shared" si="83"/>
        <v>0</v>
      </c>
      <c r="U75" s="10">
        <f t="shared" si="83"/>
        <v>0</v>
      </c>
      <c r="V75" s="10">
        <f t="shared" si="83"/>
        <v>0</v>
      </c>
      <c r="W75" s="10">
        <f t="shared" si="83"/>
        <v>0</v>
      </c>
      <c r="X75" s="10">
        <f t="shared" si="83"/>
        <v>0</v>
      </c>
      <c r="Y75" s="10">
        <f t="shared" si="83"/>
        <v>0</v>
      </c>
      <c r="Z75" s="10">
        <f t="shared" si="83"/>
        <v>0</v>
      </c>
      <c r="AA75" s="10">
        <f t="shared" si="83"/>
        <v>0</v>
      </c>
      <c r="AB75" s="10">
        <f t="shared" si="83"/>
        <v>0</v>
      </c>
      <c r="AC75" s="10">
        <f t="shared" si="83"/>
        <v>0</v>
      </c>
      <c r="AD75" s="10">
        <f t="shared" si="83"/>
        <v>0</v>
      </c>
      <c r="AE75" s="10">
        <f t="shared" ref="AE75:AS75" si="84">SUM(AE73:AE74)</f>
        <v>0</v>
      </c>
      <c r="AF75" s="10">
        <f t="shared" si="84"/>
        <v>0</v>
      </c>
      <c r="AG75" s="10">
        <f t="shared" si="84"/>
        <v>0</v>
      </c>
      <c r="AH75" s="10">
        <f t="shared" si="84"/>
        <v>0</v>
      </c>
      <c r="AI75" s="10">
        <f t="shared" si="84"/>
        <v>0</v>
      </c>
      <c r="AJ75" s="10">
        <f t="shared" si="84"/>
        <v>0</v>
      </c>
      <c r="AK75" s="10">
        <f t="shared" si="84"/>
        <v>0</v>
      </c>
      <c r="AL75" s="10">
        <f t="shared" si="84"/>
        <v>0</v>
      </c>
      <c r="AM75" s="10"/>
      <c r="AN75" s="10"/>
      <c r="AO75" s="10"/>
      <c r="AP75" s="10"/>
      <c r="AQ75" s="10"/>
      <c r="AR75" s="10"/>
      <c r="AS75" s="10">
        <f t="shared" si="84"/>
        <v>0</v>
      </c>
      <c r="AT75" s="17"/>
      <c r="AU75" s="26">
        <f>SUM(AU72:AU74)</f>
        <v>0</v>
      </c>
      <c r="AV75" s="19"/>
      <c r="AW75" s="190"/>
      <c r="AX75" s="19"/>
    </row>
    <row r="76" spans="2:50" hidden="1" x14ac:dyDescent="0.25">
      <c r="C76" s="25"/>
      <c r="D76" s="24"/>
      <c r="E76" s="23"/>
      <c r="F76" s="36"/>
      <c r="G76" s="22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7"/>
      <c r="AU76" s="26"/>
      <c r="AV76" s="19"/>
      <c r="AW76" s="190"/>
      <c r="AX76" s="19"/>
    </row>
    <row r="77" spans="2:50" hidden="1" x14ac:dyDescent="0.25">
      <c r="C77" s="25"/>
      <c r="D77" s="24"/>
      <c r="E77" s="23"/>
      <c r="F77" s="36"/>
      <c r="G77" s="22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7"/>
      <c r="AU77" s="26"/>
      <c r="AV77" s="19"/>
      <c r="AW77" s="190"/>
      <c r="AX77" s="19"/>
    </row>
    <row r="78" spans="2:50" hidden="1" x14ac:dyDescent="0.25">
      <c r="C78" s="25"/>
      <c r="D78" s="24"/>
      <c r="E78" s="23"/>
      <c r="F78" s="36"/>
      <c r="G78" s="22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86"/>
      <c r="AU78" s="26"/>
      <c r="AV78" s="19"/>
      <c r="AW78" s="190"/>
      <c r="AX78" s="19"/>
    </row>
    <row r="79" spans="2:50" hidden="1" x14ac:dyDescent="0.25">
      <c r="C79" s="25"/>
      <c r="D79" s="24"/>
      <c r="E79" s="23"/>
      <c r="F79" s="36"/>
      <c r="G79" s="22"/>
      <c r="H79" s="159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86"/>
      <c r="AU79" s="26"/>
      <c r="AV79" s="178"/>
      <c r="AW79" s="190"/>
      <c r="AX79" s="19"/>
    </row>
    <row r="80" spans="2:50" hidden="1" x14ac:dyDescent="0.25">
      <c r="C80" s="25"/>
      <c r="D80" s="24"/>
      <c r="E80" s="23"/>
      <c r="F80" s="142"/>
      <c r="G80" s="142"/>
      <c r="H80" s="161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6"/>
      <c r="U80" s="145"/>
      <c r="V80" s="145"/>
      <c r="W80" s="145"/>
      <c r="X80" s="145"/>
      <c r="Y80" s="146"/>
      <c r="Z80" s="145"/>
      <c r="AA80" s="145"/>
      <c r="AB80" s="145"/>
      <c r="AC80" s="145"/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86"/>
      <c r="AU80" s="26"/>
      <c r="AV80" s="178"/>
      <c r="AW80" s="190"/>
      <c r="AX80" s="19"/>
    </row>
    <row r="81" spans="2:50" hidden="1" x14ac:dyDescent="0.25">
      <c r="B81" s="47" t="s">
        <v>43</v>
      </c>
      <c r="C81" s="144"/>
      <c r="D81" s="47" t="s">
        <v>44</v>
      </c>
      <c r="E81" s="79"/>
      <c r="F81" s="144"/>
      <c r="G81" s="144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44"/>
      <c r="U81" s="145"/>
      <c r="V81" s="143"/>
      <c r="W81" s="172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51"/>
      <c r="AU81" s="42"/>
      <c r="AV81" s="19"/>
      <c r="AW81" s="168"/>
      <c r="AX81" s="19"/>
    </row>
    <row r="82" spans="2:50" hidden="1" x14ac:dyDescent="0.25">
      <c r="B82" s="90"/>
      <c r="C82" s="126" t="s">
        <v>62</v>
      </c>
      <c r="D82" s="90"/>
      <c r="E82" s="147"/>
      <c r="F82" s="126"/>
      <c r="G82" s="126"/>
      <c r="H82" s="173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5"/>
      <c r="AQ82" s="175"/>
      <c r="AR82" s="175"/>
      <c r="AS82" s="175"/>
      <c r="AT82" s="176"/>
      <c r="AU82" s="177"/>
      <c r="AV82" s="19"/>
      <c r="AW82" s="168"/>
      <c r="AX82" s="19"/>
    </row>
    <row r="83" spans="2:50" hidden="1" x14ac:dyDescent="0.25">
      <c r="B83" s="6">
        <v>5233</v>
      </c>
      <c r="C83" s="166" t="s">
        <v>41</v>
      </c>
      <c r="D83" s="167"/>
      <c r="E83" s="23"/>
      <c r="H83" s="162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169"/>
      <c r="AT83" s="74"/>
      <c r="AU83" s="37">
        <f>SUM(H83:AT83)</f>
        <v>0</v>
      </c>
      <c r="AV83" s="19"/>
      <c r="AW83" s="168"/>
      <c r="AX83" s="19"/>
    </row>
    <row r="84" spans="2:50" hidden="1" x14ac:dyDescent="0.25">
      <c r="B84" s="6">
        <v>5233</v>
      </c>
      <c r="C84" s="166" t="s">
        <v>42</v>
      </c>
      <c r="D84" s="167"/>
      <c r="E84" s="23"/>
      <c r="H84" s="164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51"/>
      <c r="AU84" s="27">
        <f>SUM(H84:AT84)</f>
        <v>0</v>
      </c>
      <c r="AV84" s="19"/>
      <c r="AW84" s="168"/>
      <c r="AX84" s="19"/>
    </row>
    <row r="85" spans="2:50" hidden="1" x14ac:dyDescent="0.25">
      <c r="C85" s="25"/>
      <c r="D85" s="24"/>
      <c r="E85" s="23"/>
      <c r="F85" s="36" t="s">
        <v>45</v>
      </c>
      <c r="G85" s="22"/>
      <c r="H85" s="10">
        <f>SUM(H83:H84)</f>
        <v>0</v>
      </c>
      <c r="I85" s="10">
        <f t="shared" ref="I85:AD85" si="85">SUM(I83:I84)</f>
        <v>0</v>
      </c>
      <c r="J85" s="10">
        <f t="shared" si="85"/>
        <v>0</v>
      </c>
      <c r="K85" s="10">
        <f t="shared" si="85"/>
        <v>0</v>
      </c>
      <c r="L85" s="10">
        <f t="shared" si="85"/>
        <v>0</v>
      </c>
      <c r="M85" s="10">
        <f t="shared" si="85"/>
        <v>0</v>
      </c>
      <c r="N85" s="10">
        <f t="shared" si="85"/>
        <v>0</v>
      </c>
      <c r="O85" s="10">
        <f t="shared" si="85"/>
        <v>0</v>
      </c>
      <c r="P85" s="10">
        <f t="shared" si="85"/>
        <v>0</v>
      </c>
      <c r="Q85" s="10">
        <f t="shared" si="85"/>
        <v>0</v>
      </c>
      <c r="R85" s="10">
        <f t="shared" si="85"/>
        <v>0</v>
      </c>
      <c r="S85" s="10">
        <f t="shared" si="85"/>
        <v>0</v>
      </c>
      <c r="T85" s="10">
        <f t="shared" si="85"/>
        <v>0</v>
      </c>
      <c r="U85" s="10">
        <f t="shared" si="85"/>
        <v>0</v>
      </c>
      <c r="V85" s="10">
        <f t="shared" si="85"/>
        <v>0</v>
      </c>
      <c r="W85" s="10">
        <f t="shared" si="85"/>
        <v>0</v>
      </c>
      <c r="X85" s="10">
        <f>SUM(X83:X84)</f>
        <v>0</v>
      </c>
      <c r="Y85" s="10">
        <f t="shared" si="85"/>
        <v>0</v>
      </c>
      <c r="Z85" s="10">
        <f t="shared" si="85"/>
        <v>0</v>
      </c>
      <c r="AA85" s="10">
        <f t="shared" si="85"/>
        <v>0</v>
      </c>
      <c r="AB85" s="10">
        <f t="shared" si="85"/>
        <v>0</v>
      </c>
      <c r="AC85" s="10">
        <f t="shared" si="85"/>
        <v>0</v>
      </c>
      <c r="AD85" s="10">
        <f t="shared" si="85"/>
        <v>0</v>
      </c>
      <c r="AE85" s="10">
        <f t="shared" ref="AE85:AS85" si="86">SUM(AE83:AE84)</f>
        <v>0</v>
      </c>
      <c r="AF85" s="10">
        <f t="shared" si="86"/>
        <v>0</v>
      </c>
      <c r="AG85" s="10">
        <f t="shared" si="86"/>
        <v>0</v>
      </c>
      <c r="AH85" s="10">
        <f t="shared" si="86"/>
        <v>0</v>
      </c>
      <c r="AI85" s="10">
        <f t="shared" si="86"/>
        <v>0</v>
      </c>
      <c r="AJ85" s="10">
        <f t="shared" si="86"/>
        <v>0</v>
      </c>
      <c r="AK85" s="10">
        <f t="shared" si="86"/>
        <v>0</v>
      </c>
      <c r="AL85" s="10">
        <f t="shared" si="86"/>
        <v>0</v>
      </c>
      <c r="AM85" s="10"/>
      <c r="AN85" s="10"/>
      <c r="AO85" s="10"/>
      <c r="AP85" s="10"/>
      <c r="AQ85" s="10"/>
      <c r="AR85" s="10"/>
      <c r="AS85" s="10">
        <f t="shared" si="86"/>
        <v>0</v>
      </c>
      <c r="AT85" s="17"/>
      <c r="AU85" s="26">
        <f>SUM(AU83:AU84)</f>
        <v>0</v>
      </c>
      <c r="AV85" s="19"/>
      <c r="AW85" s="168"/>
      <c r="AX85" s="19"/>
    </row>
    <row r="86" spans="2:50" hidden="1" x14ac:dyDescent="0.25">
      <c r="C86" s="25"/>
      <c r="D86" s="24"/>
      <c r="E86" s="23"/>
      <c r="F86" s="36"/>
      <c r="G86" s="22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7"/>
      <c r="AU86" s="26"/>
      <c r="AV86" s="19"/>
      <c r="AW86" s="168"/>
      <c r="AX86" s="19"/>
    </row>
    <row r="87" spans="2:50" hidden="1" x14ac:dyDescent="0.25">
      <c r="C87" s="13"/>
      <c r="D87" s="12"/>
      <c r="E87" s="11"/>
      <c r="F87" s="14"/>
      <c r="G87" s="14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9"/>
      <c r="AV87" s="7"/>
      <c r="AW87" s="58"/>
      <c r="AX87" s="7"/>
    </row>
    <row r="88" spans="2:50" x14ac:dyDescent="0.25">
      <c r="B88" s="47" t="s">
        <v>5</v>
      </c>
      <c r="C88" s="46"/>
      <c r="D88" s="45"/>
      <c r="E88" s="44"/>
      <c r="F88" s="43"/>
      <c r="G88" s="43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26"/>
      <c r="AV88" s="7"/>
      <c r="AW88" s="58"/>
      <c r="AX88" s="7"/>
    </row>
    <row r="89" spans="2:50" x14ac:dyDescent="0.25">
      <c r="B89" s="41" t="s">
        <v>4</v>
      </c>
      <c r="C89" s="40" t="s">
        <v>3</v>
      </c>
      <c r="D89" s="36"/>
      <c r="E89" s="14"/>
      <c r="H89" s="192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93"/>
      <c r="AK89" s="193"/>
      <c r="AL89" s="193"/>
      <c r="AM89" s="193">
        <f>(-11000/12)</f>
        <v>-916.66666666666663</v>
      </c>
      <c r="AN89" s="193">
        <f t="shared" ref="AN89:AS89" si="87">(-11000/12)</f>
        <v>-916.66666666666663</v>
      </c>
      <c r="AO89" s="193">
        <f t="shared" si="87"/>
        <v>-916.66666666666663</v>
      </c>
      <c r="AP89" s="193">
        <f t="shared" si="87"/>
        <v>-916.66666666666663</v>
      </c>
      <c r="AQ89" s="193">
        <f t="shared" si="87"/>
        <v>-916.66666666666663</v>
      </c>
      <c r="AR89" s="193">
        <f t="shared" si="87"/>
        <v>-916.66666666666663</v>
      </c>
      <c r="AS89" s="193">
        <f t="shared" si="87"/>
        <v>-916.66666666666663</v>
      </c>
      <c r="AT89" s="38"/>
      <c r="AU89" s="37">
        <f t="shared" ref="AU89:AU97" si="88">SUM(H89:AT89)</f>
        <v>-6416.666666666667</v>
      </c>
      <c r="AV89" s="7"/>
      <c r="AW89" s="58"/>
      <c r="AX89" s="7"/>
    </row>
    <row r="90" spans="2:50" x14ac:dyDescent="0.25">
      <c r="B90" s="6">
        <v>5335</v>
      </c>
      <c r="C90" s="34" t="s">
        <v>59</v>
      </c>
      <c r="D90" s="33"/>
      <c r="E90" s="11"/>
      <c r="F90" s="14"/>
      <c r="G90" s="14"/>
      <c r="H90" s="148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32"/>
      <c r="AU90" s="31">
        <f t="shared" si="88"/>
        <v>0</v>
      </c>
      <c r="AV90" s="7"/>
      <c r="AW90" s="58"/>
      <c r="AX90" s="7"/>
    </row>
    <row r="91" spans="2:50" x14ac:dyDescent="0.25">
      <c r="B91" s="6">
        <v>5231</v>
      </c>
      <c r="C91" s="34" t="s">
        <v>54</v>
      </c>
      <c r="D91" s="36"/>
      <c r="E91" s="14"/>
      <c r="H91" s="148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32"/>
      <c r="AU91" s="31">
        <f t="shared" si="88"/>
        <v>0</v>
      </c>
      <c r="AV91" s="7"/>
      <c r="AW91" s="58"/>
      <c r="AX91" s="7"/>
    </row>
    <row r="92" spans="2:50" x14ac:dyDescent="0.25">
      <c r="B92" s="6">
        <v>5231</v>
      </c>
      <c r="C92" s="34" t="s">
        <v>55</v>
      </c>
      <c r="D92" s="36"/>
      <c r="E92" s="11"/>
      <c r="F92" s="14"/>
      <c r="G92" s="14"/>
      <c r="H92" s="148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32"/>
      <c r="AU92" s="31">
        <f t="shared" si="88"/>
        <v>0</v>
      </c>
      <c r="AV92" s="7"/>
      <c r="AW92" s="58"/>
      <c r="AX92" s="7"/>
    </row>
    <row r="93" spans="2:50" ht="15" customHeight="1" x14ac:dyDescent="0.25">
      <c r="B93" s="6" t="s">
        <v>2</v>
      </c>
      <c r="C93" s="34" t="s">
        <v>57</v>
      </c>
      <c r="D93" s="36"/>
      <c r="E93" s="11"/>
      <c r="F93" s="14"/>
      <c r="G93" s="14"/>
      <c r="H93" s="148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32"/>
      <c r="AU93" s="31">
        <f t="shared" si="88"/>
        <v>0</v>
      </c>
      <c r="AV93" s="7"/>
      <c r="AW93" s="58"/>
      <c r="AX93" s="7"/>
    </row>
    <row r="94" spans="2:50" x14ac:dyDescent="0.25">
      <c r="B94" s="6" t="s">
        <v>2</v>
      </c>
      <c r="C94" s="34" t="s">
        <v>58</v>
      </c>
      <c r="D94" s="33"/>
      <c r="E94" s="11"/>
      <c r="F94" s="14"/>
      <c r="G94" s="14"/>
      <c r="H94" s="148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32"/>
      <c r="AU94" s="31">
        <f t="shared" si="88"/>
        <v>0</v>
      </c>
      <c r="AV94" s="7"/>
      <c r="AW94" s="58"/>
      <c r="AX94" s="7"/>
    </row>
    <row r="95" spans="2:50" ht="15" customHeight="1" x14ac:dyDescent="0.25">
      <c r="B95" s="6" t="s">
        <v>2</v>
      </c>
      <c r="C95" s="34" t="s">
        <v>58</v>
      </c>
      <c r="D95" s="33"/>
      <c r="E95" s="35"/>
      <c r="F95" s="12"/>
      <c r="G95" s="12"/>
      <c r="H95" s="148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32"/>
      <c r="AU95" s="31">
        <f t="shared" si="88"/>
        <v>0</v>
      </c>
      <c r="AV95" s="7"/>
      <c r="AW95" s="58"/>
      <c r="AX95" s="7"/>
    </row>
    <row r="96" spans="2:50" ht="15" customHeight="1" x14ac:dyDescent="0.25">
      <c r="B96" s="6" t="s">
        <v>2</v>
      </c>
      <c r="C96" s="34" t="s">
        <v>58</v>
      </c>
      <c r="D96" s="33"/>
      <c r="E96" s="11"/>
      <c r="F96" s="14"/>
      <c r="G96" s="14"/>
      <c r="H96" s="156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7"/>
      <c r="AH96" s="157"/>
      <c r="AI96" s="157"/>
      <c r="AJ96" s="157"/>
      <c r="AK96" s="157"/>
      <c r="AL96" s="157"/>
      <c r="AM96" s="157"/>
      <c r="AN96" s="157"/>
      <c r="AO96" s="157"/>
      <c r="AP96" s="157"/>
      <c r="AQ96" s="157"/>
      <c r="AR96" s="157"/>
      <c r="AS96" s="157"/>
      <c r="AT96" s="28"/>
      <c r="AU96" s="27">
        <f t="shared" si="88"/>
        <v>0</v>
      </c>
      <c r="AV96" s="7"/>
      <c r="AW96" s="58"/>
      <c r="AX96" s="7"/>
    </row>
    <row r="97" spans="2:50" x14ac:dyDescent="0.25">
      <c r="B97" s="6">
        <v>5340</v>
      </c>
      <c r="C97" s="13" t="s">
        <v>56</v>
      </c>
      <c r="D97" s="30"/>
      <c r="E97" s="11"/>
      <c r="F97" s="14"/>
      <c r="G97" s="14"/>
      <c r="H97" s="29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7">
        <f t="shared" si="88"/>
        <v>0</v>
      </c>
      <c r="AV97" s="7"/>
      <c r="AW97" s="58"/>
      <c r="AX97" s="7"/>
    </row>
    <row r="98" spans="2:50" x14ac:dyDescent="0.25">
      <c r="D98" s="24"/>
      <c r="E98" s="23"/>
      <c r="F98" s="13" t="s">
        <v>1</v>
      </c>
      <c r="G98" s="22"/>
      <c r="H98" s="10">
        <f t="shared" ref="H98:AD98" si="89">SUM(H89:H97)</f>
        <v>0</v>
      </c>
      <c r="I98" s="10">
        <f t="shared" si="89"/>
        <v>0</v>
      </c>
      <c r="J98" s="10">
        <f t="shared" si="89"/>
        <v>0</v>
      </c>
      <c r="K98" s="10">
        <f t="shared" si="89"/>
        <v>0</v>
      </c>
      <c r="L98" s="10">
        <f t="shared" si="89"/>
        <v>0</v>
      </c>
      <c r="M98" s="10">
        <f t="shared" si="89"/>
        <v>0</v>
      </c>
      <c r="N98" s="10">
        <f t="shared" si="89"/>
        <v>0</v>
      </c>
      <c r="O98" s="10">
        <f t="shared" si="89"/>
        <v>0</v>
      </c>
      <c r="P98" s="10">
        <f t="shared" si="89"/>
        <v>0</v>
      </c>
      <c r="Q98" s="10">
        <f t="shared" si="89"/>
        <v>0</v>
      </c>
      <c r="R98" s="10">
        <f t="shared" si="89"/>
        <v>0</v>
      </c>
      <c r="S98" s="10">
        <f t="shared" si="89"/>
        <v>0</v>
      </c>
      <c r="T98" s="10">
        <f t="shared" si="89"/>
        <v>0</v>
      </c>
      <c r="U98" s="10">
        <f t="shared" si="89"/>
        <v>0</v>
      </c>
      <c r="V98" s="10">
        <f t="shared" si="89"/>
        <v>0</v>
      </c>
      <c r="W98" s="10">
        <f t="shared" si="89"/>
        <v>0</v>
      </c>
      <c r="X98" s="10">
        <f t="shared" si="89"/>
        <v>0</v>
      </c>
      <c r="Y98" s="10">
        <f t="shared" si="89"/>
        <v>0</v>
      </c>
      <c r="Z98" s="10">
        <f t="shared" si="89"/>
        <v>0</v>
      </c>
      <c r="AA98" s="10">
        <f t="shared" si="89"/>
        <v>0</v>
      </c>
      <c r="AB98" s="10">
        <f t="shared" si="89"/>
        <v>0</v>
      </c>
      <c r="AC98" s="10">
        <f t="shared" si="89"/>
        <v>0</v>
      </c>
      <c r="AD98" s="10">
        <f t="shared" si="89"/>
        <v>0</v>
      </c>
      <c r="AE98" s="10">
        <f t="shared" ref="AE98:AS98" si="90">SUM(AE89:AE97)</f>
        <v>0</v>
      </c>
      <c r="AF98" s="10">
        <f t="shared" si="90"/>
        <v>0</v>
      </c>
      <c r="AG98" s="10">
        <f t="shared" si="90"/>
        <v>0</v>
      </c>
      <c r="AH98" s="10">
        <f t="shared" si="90"/>
        <v>0</v>
      </c>
      <c r="AI98" s="10">
        <f t="shared" si="90"/>
        <v>0</v>
      </c>
      <c r="AJ98" s="10">
        <f t="shared" si="90"/>
        <v>0</v>
      </c>
      <c r="AK98" s="10">
        <f t="shared" si="90"/>
        <v>0</v>
      </c>
      <c r="AL98" s="10">
        <f t="shared" si="90"/>
        <v>0</v>
      </c>
      <c r="AM98" s="10">
        <f t="shared" si="90"/>
        <v>-916.66666666666663</v>
      </c>
      <c r="AN98" s="10">
        <f t="shared" si="90"/>
        <v>-916.66666666666663</v>
      </c>
      <c r="AO98" s="10">
        <f t="shared" si="90"/>
        <v>-916.66666666666663</v>
      </c>
      <c r="AP98" s="10">
        <f t="shared" si="90"/>
        <v>-916.66666666666663</v>
      </c>
      <c r="AQ98" s="10">
        <f t="shared" si="90"/>
        <v>-916.66666666666663</v>
      </c>
      <c r="AR98" s="10">
        <f t="shared" si="90"/>
        <v>-916.66666666666663</v>
      </c>
      <c r="AS98" s="10">
        <f t="shared" si="90"/>
        <v>-916.66666666666663</v>
      </c>
      <c r="AT98" s="17"/>
      <c r="AU98" s="26">
        <f>SUM(AU89:AU97)</f>
        <v>-6416.666666666667</v>
      </c>
      <c r="AV98" s="19"/>
      <c r="AW98" s="20"/>
      <c r="AX98" s="19"/>
    </row>
    <row r="99" spans="2:50" x14ac:dyDescent="0.25">
      <c r="D99" s="24"/>
      <c r="E99" s="23"/>
      <c r="F99" s="13"/>
      <c r="G99" s="22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7"/>
      <c r="AU99" s="26"/>
      <c r="AV99" s="19"/>
      <c r="AW99" s="20"/>
      <c r="AX99" s="19"/>
    </row>
    <row r="100" spans="2:50" x14ac:dyDescent="0.25">
      <c r="C100" s="25"/>
      <c r="D100" s="24"/>
      <c r="E100" s="23"/>
      <c r="F100" s="22"/>
      <c r="G100" s="22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21"/>
      <c r="AV100" s="19"/>
      <c r="AW100" s="20"/>
      <c r="AX100" s="19"/>
    </row>
    <row r="101" spans="2:50" x14ac:dyDescent="0.25">
      <c r="C101" s="25"/>
      <c r="D101" s="24"/>
      <c r="E101" s="23"/>
      <c r="F101" s="22"/>
      <c r="G101" s="22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21"/>
      <c r="AV101" s="19"/>
      <c r="AW101" s="20"/>
      <c r="AX101" s="19"/>
    </row>
    <row r="102" spans="2:50" x14ac:dyDescent="0.25">
      <c r="B102" s="1"/>
      <c r="C102" s="13"/>
      <c r="D102" s="12"/>
      <c r="E102" s="11"/>
      <c r="F102" s="18" t="s">
        <v>0</v>
      </c>
      <c r="G102" s="14"/>
      <c r="H102" s="17">
        <f t="shared" ref="H102:AD102" si="91">SUM(H54,H60,H69,H75,H85,H98)</f>
        <v>-12063</v>
      </c>
      <c r="I102" s="17">
        <f t="shared" si="91"/>
        <v>-12424.89</v>
      </c>
      <c r="J102" s="17">
        <f t="shared" si="91"/>
        <v>-12797.636699999999</v>
      </c>
      <c r="K102" s="17">
        <f t="shared" si="91"/>
        <v>-13181.565800999999</v>
      </c>
      <c r="L102" s="17">
        <f t="shared" si="91"/>
        <v>-13577.01277503</v>
      </c>
      <c r="M102" s="17">
        <f t="shared" si="91"/>
        <v>-13984.3231582809</v>
      </c>
      <c r="N102" s="17">
        <f t="shared" si="91"/>
        <v>-14403.852853029328</v>
      </c>
      <c r="O102" s="17">
        <f t="shared" si="91"/>
        <v>-14835.968438620208</v>
      </c>
      <c r="P102" s="17">
        <f t="shared" si="91"/>
        <v>-15281.047491778814</v>
      </c>
      <c r="Q102" s="17">
        <f t="shared" si="91"/>
        <v>-15739.47891653218</v>
      </c>
      <c r="R102" s="17">
        <f t="shared" si="91"/>
        <v>-16211.663284028145</v>
      </c>
      <c r="S102" s="17">
        <f t="shared" si="91"/>
        <v>-16698.013182548992</v>
      </c>
      <c r="T102" s="17">
        <f t="shared" si="91"/>
        <v>-17198.953578025463</v>
      </c>
      <c r="U102" s="17">
        <f t="shared" si="91"/>
        <v>-17714.922185366227</v>
      </c>
      <c r="V102" s="17">
        <f t="shared" si="91"/>
        <v>-18246.369850927214</v>
      </c>
      <c r="W102" s="17">
        <f t="shared" si="91"/>
        <v>-18793.76094645503</v>
      </c>
      <c r="X102" s="17">
        <f t="shared" si="91"/>
        <v>-19357.573774848683</v>
      </c>
      <c r="Y102" s="17">
        <f t="shared" si="91"/>
        <v>-19938.300988094143</v>
      </c>
      <c r="Z102" s="17">
        <f t="shared" si="91"/>
        <v>-20536.450017736966</v>
      </c>
      <c r="AA102" s="17">
        <f t="shared" si="91"/>
        <v>-21152.543518269074</v>
      </c>
      <c r="AB102" s="17">
        <f t="shared" si="91"/>
        <v>-21787.119823817146</v>
      </c>
      <c r="AC102" s="17">
        <f t="shared" si="91"/>
        <v>-22440.733418531661</v>
      </c>
      <c r="AD102" s="17">
        <f t="shared" si="91"/>
        <v>-23113.955421087612</v>
      </c>
      <c r="AE102" s="17">
        <f t="shared" ref="AE102:AS102" si="92">SUM(AE54,AE60,AE69,AE75,AE85,AE98)</f>
        <v>-23807.374083720242</v>
      </c>
      <c r="AF102" s="17">
        <f t="shared" si="92"/>
        <v>-24521.595306231851</v>
      </c>
      <c r="AG102" s="17">
        <f t="shared" si="92"/>
        <v>-25257.243165418808</v>
      </c>
      <c r="AH102" s="17">
        <f t="shared" si="92"/>
        <v>-26014.960460381371</v>
      </c>
      <c r="AI102" s="17">
        <f t="shared" si="92"/>
        <v>-26795.409274192814</v>
      </c>
      <c r="AJ102" s="17">
        <f t="shared" si="92"/>
        <v>-27599.271552418599</v>
      </c>
      <c r="AK102" s="17">
        <f t="shared" si="92"/>
        <v>-28427.249698991156</v>
      </c>
      <c r="AL102" s="17">
        <f t="shared" si="92"/>
        <v>-29280.06718996089</v>
      </c>
      <c r="AM102" s="17">
        <f t="shared" si="92"/>
        <v>-31075.135872326384</v>
      </c>
      <c r="AN102" s="17">
        <f t="shared" si="92"/>
        <v>-31979.889948496177</v>
      </c>
      <c r="AO102" s="17">
        <f t="shared" si="92"/>
        <v>-32911.786646951063</v>
      </c>
      <c r="AP102" s="17">
        <f t="shared" si="92"/>
        <v>-33871.640246359595</v>
      </c>
      <c r="AQ102" s="17">
        <f t="shared" si="92"/>
        <v>-34860.289453750382</v>
      </c>
      <c r="AR102" s="17">
        <f t="shared" si="92"/>
        <v>-35878.598137362897</v>
      </c>
      <c r="AS102" s="17">
        <f t="shared" si="92"/>
        <v>-36927.456081483782</v>
      </c>
      <c r="AT102" s="10"/>
      <c r="AU102" s="16">
        <f>SUM(AU54,AU60,AU69,AU75,AU85,AU98)</f>
        <v>-840687.10324205377</v>
      </c>
      <c r="AV102" s="7"/>
      <c r="AW102" s="8"/>
      <c r="AX102" s="7"/>
    </row>
    <row r="103" spans="2:50" x14ac:dyDescent="0.25">
      <c r="B103" s="1"/>
      <c r="C103" s="13"/>
      <c r="D103" s="12"/>
      <c r="E103" s="11"/>
      <c r="F103" s="14"/>
      <c r="G103" s="14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9"/>
      <c r="AV103" s="7"/>
      <c r="AW103" s="8"/>
      <c r="AX103" s="7"/>
    </row>
    <row r="104" spans="2:50" x14ac:dyDescent="0.25">
      <c r="B104" s="1"/>
      <c r="C104" s="13"/>
      <c r="D104" s="12"/>
      <c r="E104" s="11"/>
      <c r="F104" s="14"/>
      <c r="G104" s="14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9"/>
      <c r="AV104" s="7"/>
      <c r="AW104" s="8"/>
      <c r="AX104" s="7"/>
    </row>
    <row r="105" spans="2:50" x14ac:dyDescent="0.25">
      <c r="B105" s="1"/>
      <c r="C105" s="13"/>
      <c r="D105" s="12"/>
      <c r="E105" s="11"/>
      <c r="F105" s="14"/>
      <c r="G105" s="14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9"/>
      <c r="AV105" s="7"/>
      <c r="AW105" s="8"/>
      <c r="AX105" s="7"/>
    </row>
    <row r="106" spans="2:50" x14ac:dyDescent="0.25">
      <c r="B106" s="1"/>
      <c r="C106" s="13"/>
      <c r="D106" s="12"/>
      <c r="E106" s="11"/>
      <c r="F106" s="14"/>
      <c r="G106" s="14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9"/>
      <c r="AV106" s="7"/>
      <c r="AW106" s="8"/>
      <c r="AX106" s="7"/>
    </row>
    <row r="107" spans="2:50" x14ac:dyDescent="0.25">
      <c r="B107" s="1"/>
      <c r="C107" s="13"/>
      <c r="D107" s="12"/>
      <c r="E107" s="11"/>
      <c r="F107" s="14"/>
      <c r="G107" s="14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9"/>
      <c r="AV107" s="7"/>
      <c r="AW107" s="8"/>
      <c r="AX107" s="7"/>
    </row>
    <row r="108" spans="2:50" x14ac:dyDescent="0.25">
      <c r="B108" s="1"/>
      <c r="C108" s="13"/>
      <c r="D108" s="12"/>
      <c r="E108" s="11"/>
      <c r="F108" s="14"/>
      <c r="G108" s="14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9"/>
      <c r="AV108" s="7"/>
      <c r="AW108" s="8"/>
      <c r="AX108" s="7"/>
    </row>
    <row r="109" spans="2:50" hidden="1" x14ac:dyDescent="0.25">
      <c r="B109" s="170" t="s">
        <v>51</v>
      </c>
      <c r="C109" s="171"/>
      <c r="D109" s="45"/>
      <c r="E109" s="44"/>
      <c r="F109" s="43"/>
      <c r="G109" s="43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9"/>
      <c r="AV109" s="7"/>
      <c r="AW109" s="8"/>
      <c r="AX109" s="7"/>
    </row>
    <row r="110" spans="2:50" hidden="1" x14ac:dyDescent="0.25">
      <c r="B110" s="6">
        <v>5233</v>
      </c>
      <c r="C110" s="34" t="s">
        <v>52</v>
      </c>
      <c r="D110" s="36"/>
      <c r="E110" s="11"/>
      <c r="F110" s="14"/>
      <c r="G110" s="14"/>
      <c r="H110" s="155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38"/>
      <c r="AU110" s="37">
        <f>SUM(H110:AT110)</f>
        <v>0</v>
      </c>
      <c r="AV110" s="7"/>
      <c r="AW110" s="58"/>
      <c r="AX110" s="7"/>
    </row>
    <row r="111" spans="2:50" hidden="1" x14ac:dyDescent="0.25">
      <c r="B111" s="6">
        <v>5233</v>
      </c>
      <c r="C111" s="34" t="s">
        <v>53</v>
      </c>
      <c r="D111" s="36"/>
      <c r="E111" s="11"/>
      <c r="F111" s="14"/>
      <c r="G111" s="14"/>
      <c r="H111" s="156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57"/>
      <c r="AG111" s="157"/>
      <c r="AH111" s="157"/>
      <c r="AI111" s="157"/>
      <c r="AJ111" s="157"/>
      <c r="AK111" s="157"/>
      <c r="AL111" s="157"/>
      <c r="AM111" s="157"/>
      <c r="AN111" s="157"/>
      <c r="AO111" s="157"/>
      <c r="AP111" s="157"/>
      <c r="AQ111" s="157"/>
      <c r="AR111" s="157"/>
      <c r="AS111" s="157"/>
      <c r="AT111" s="28"/>
      <c r="AU111" s="27">
        <f>SUM(H111:AT111)</f>
        <v>0</v>
      </c>
      <c r="AV111" s="7"/>
      <c r="AW111" s="58"/>
      <c r="AX111" s="7"/>
    </row>
    <row r="112" spans="2:50" hidden="1" x14ac:dyDescent="0.25">
      <c r="B112" s="1"/>
      <c r="C112" s="13"/>
      <c r="D112" s="12"/>
      <c r="E112" s="11"/>
      <c r="F112" s="14"/>
      <c r="G112" s="14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9"/>
      <c r="AV112" s="7"/>
      <c r="AW112" s="8"/>
      <c r="AX112" s="7"/>
    </row>
    <row r="113" spans="2:50" hidden="1" x14ac:dyDescent="0.25">
      <c r="B113" s="1"/>
      <c r="C113" s="13"/>
      <c r="D113" s="12"/>
      <c r="E113" s="11"/>
      <c r="F113" s="14"/>
      <c r="G113" s="14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9"/>
      <c r="AV113" s="7"/>
      <c r="AW113" s="8"/>
      <c r="AX113" s="7"/>
    </row>
    <row r="114" spans="2:50" x14ac:dyDescent="0.25">
      <c r="B114" s="1"/>
      <c r="C114" s="13"/>
      <c r="D114" s="12"/>
      <c r="E114" s="11"/>
      <c r="F114" s="14"/>
      <c r="G114" s="14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9"/>
      <c r="AV114" s="7"/>
      <c r="AW114" s="8"/>
      <c r="AX114" s="7"/>
    </row>
    <row r="115" spans="2:50" x14ac:dyDescent="0.25">
      <c r="B115" s="1"/>
      <c r="C115" s="13"/>
      <c r="D115" s="12"/>
      <c r="E115" s="11"/>
      <c r="F115" s="14"/>
      <c r="G115" s="14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9"/>
      <c r="AV115" s="7"/>
      <c r="AW115" s="8"/>
      <c r="AX115" s="7"/>
    </row>
    <row r="116" spans="2:50" x14ac:dyDescent="0.25">
      <c r="B116" s="1"/>
      <c r="C116" s="13"/>
      <c r="D116" s="12"/>
      <c r="E116" s="11"/>
      <c r="F116" s="14"/>
      <c r="G116" s="14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9"/>
      <c r="AV116" s="7"/>
      <c r="AW116" s="8"/>
      <c r="AX116" s="7"/>
    </row>
    <row r="117" spans="2:50" x14ac:dyDescent="0.25">
      <c r="B117" s="1"/>
      <c r="C117" s="13"/>
      <c r="D117" s="12"/>
      <c r="E117" s="11"/>
      <c r="F117" s="14"/>
      <c r="G117" s="14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9"/>
      <c r="AV117" s="7"/>
      <c r="AW117" s="8"/>
      <c r="AX117" s="7"/>
    </row>
    <row r="118" spans="2:50" x14ac:dyDescent="0.25">
      <c r="B118" s="1"/>
      <c r="C118" s="13"/>
      <c r="D118" s="12"/>
      <c r="E118" s="11"/>
      <c r="F118" s="14"/>
      <c r="G118" s="14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9"/>
      <c r="AV118" s="7"/>
      <c r="AW118" s="8"/>
      <c r="AX118" s="7"/>
    </row>
    <row r="119" spans="2:50" x14ac:dyDescent="0.25">
      <c r="B119" s="1"/>
      <c r="C119" s="13"/>
      <c r="D119" s="12"/>
      <c r="E119" s="11"/>
      <c r="F119" s="14"/>
      <c r="G119" s="14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9"/>
      <c r="AV119" s="7"/>
      <c r="AW119" s="8"/>
      <c r="AX119" s="7"/>
    </row>
    <row r="120" spans="2:50" x14ac:dyDescent="0.25">
      <c r="B120" s="1"/>
      <c r="C120" s="13"/>
      <c r="D120" s="12"/>
      <c r="E120" s="11"/>
      <c r="F120" s="14"/>
      <c r="G120" s="14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5"/>
      <c r="AV120" s="7"/>
      <c r="AW120" s="8"/>
      <c r="AX120" s="7"/>
    </row>
    <row r="121" spans="2:50" x14ac:dyDescent="0.25">
      <c r="B121" s="1"/>
      <c r="C121" s="13"/>
      <c r="D121" s="12"/>
      <c r="E121" s="11"/>
      <c r="F121" s="14"/>
      <c r="G121" s="14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9"/>
      <c r="AV121" s="7"/>
      <c r="AW121" s="8"/>
      <c r="AX121" s="7"/>
    </row>
    <row r="122" spans="2:50" x14ac:dyDescent="0.25">
      <c r="B122" s="1"/>
      <c r="C122" s="13"/>
      <c r="D122" s="12"/>
      <c r="E122" s="11"/>
      <c r="F122" s="14"/>
      <c r="G122" s="14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5"/>
      <c r="AV122" s="7"/>
      <c r="AW122" s="8"/>
      <c r="AX122" s="7"/>
    </row>
    <row r="123" spans="2:50" x14ac:dyDescent="0.25">
      <c r="B123" s="1"/>
      <c r="C123" s="13"/>
      <c r="D123" s="12"/>
      <c r="E123" s="11"/>
      <c r="F123" s="14"/>
      <c r="G123" s="14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9"/>
      <c r="AV123" s="7"/>
      <c r="AW123" s="8"/>
      <c r="AX123" s="7"/>
    </row>
    <row r="124" spans="2:50" x14ac:dyDescent="0.25">
      <c r="B124" s="1"/>
      <c r="C124" s="13"/>
      <c r="D124" s="12"/>
      <c r="E124" s="11"/>
      <c r="F124" s="14"/>
      <c r="G124" s="14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9"/>
      <c r="AV124" s="7"/>
      <c r="AW124" s="8"/>
      <c r="AX124" s="7"/>
    </row>
    <row r="125" spans="2:50" x14ac:dyDescent="0.25">
      <c r="B125" s="1"/>
      <c r="C125" s="13"/>
      <c r="D125" s="12"/>
      <c r="E125" s="11"/>
      <c r="F125" s="14"/>
      <c r="G125" s="14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5"/>
      <c r="AV125" s="14"/>
      <c r="AW125" s="8"/>
      <c r="AX125" s="7"/>
    </row>
    <row r="126" spans="2:50" x14ac:dyDescent="0.25">
      <c r="B126" s="1"/>
      <c r="C126" s="13"/>
      <c r="D126" s="12"/>
      <c r="E126" s="11"/>
      <c r="F126" s="14"/>
      <c r="G126" s="14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9"/>
      <c r="AV126" s="7"/>
      <c r="AW126" s="8"/>
      <c r="AX126" s="7"/>
    </row>
    <row r="127" spans="2:50" x14ac:dyDescent="0.25">
      <c r="B127" s="1"/>
      <c r="C127" s="13"/>
      <c r="D127" s="12"/>
      <c r="E127" s="11"/>
      <c r="F127" s="11"/>
      <c r="G127" s="11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9"/>
      <c r="AV127" s="7"/>
      <c r="AW127" s="8"/>
      <c r="AX127" s="7"/>
    </row>
    <row r="128" spans="2:50" x14ac:dyDescent="0.25">
      <c r="B128" s="1"/>
      <c r="C128" s="13"/>
      <c r="D128" s="12"/>
      <c r="E128" s="11"/>
      <c r="F128" s="11"/>
      <c r="G128" s="11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9"/>
      <c r="AV128" s="7"/>
      <c r="AW128" s="8"/>
      <c r="AX128" s="7"/>
    </row>
    <row r="129" spans="2:50" x14ac:dyDescent="0.25">
      <c r="B129" s="1"/>
      <c r="C129" s="13"/>
      <c r="D129" s="12"/>
      <c r="E129" s="11"/>
      <c r="F129" s="11"/>
      <c r="G129" s="11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9"/>
      <c r="AV129" s="7"/>
      <c r="AW129" s="8"/>
      <c r="AX129" s="7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PROJECTION </vt:lpstr>
      <vt:lpstr>Lab Projection 2020-22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dsteine@mail.med.upenn.edu</dc:creator>
  <cp:lastModifiedBy>Windows User</cp:lastModifiedBy>
  <dcterms:created xsi:type="dcterms:W3CDTF">2017-02-06T19:07:04Z</dcterms:created>
  <dcterms:modified xsi:type="dcterms:W3CDTF">2020-01-21T19:42:49Z</dcterms:modified>
</cp:coreProperties>
</file>